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Schedule'!$A$1:$AA$6292</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6291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6291</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1242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74520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Flammable / hazmat storage building (lube-oil drums, chemicals, gas cy</t>
        </is>
      </c>
      <c r="G3019" s="12" t="inlineStr"/>
      <c r="H3019" s="12" t="inlineStr">
        <is>
          <t>Flammable / hazmat storage building (lube-oil drums, chemicals, gas cy</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461</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Gatehouse</t>
        </is>
      </c>
      <c r="G3020" s="12" t="inlineStr"/>
      <c r="H3020" s="12" t="inlineStr">
        <is>
          <t>Gatehouse</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736</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Maintenance building / workshop</t>
        </is>
      </c>
      <c r="G3021" s="12" t="inlineStr"/>
      <c r="H3021" s="12" t="inlineStr">
        <is>
          <t>Maintenance building / workshop</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8003</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F-L-0013</t>
        </is>
      </c>
      <c r="B3022" s="12" t="inlineStr">
        <is>
          <t>F</t>
        </is>
      </c>
      <c r="C3022" s="12" t="inlineStr">
        <is>
          <t>Controls / service</t>
        </is>
      </c>
      <c r="D3022" s="12" t="inlineStr">
        <is>
          <t>Lighting, receptacles and small power branch circuits (allowance)</t>
        </is>
      </c>
      <c r="E3022" s="12" t="inlineStr"/>
      <c r="F3022" s="12" t="inlineStr">
        <is>
          <t>Warehouse</t>
        </is>
      </c>
      <c r="G3022" s="12" t="inlineStr"/>
      <c r="H3022" s="12" t="inlineStr">
        <is>
          <t>Warehouse</t>
        </is>
      </c>
      <c r="I3022" s="12" t="inlineStr">
        <is>
          <t>Building wire</t>
        </is>
      </c>
      <c r="J3022" s="12" t="inlineStr">
        <is>
          <t>SIMpull THHN/THWN-2 600 V 1/C Cu (lighting, receptacles, small power)</t>
        </is>
      </c>
      <c r="K3022" s="12" t="inlineStr">
        <is>
          <t>THHN|1/C|12</t>
        </is>
      </c>
      <c r="L3022" s="12" t="inlineStr">
        <is>
          <t>1/C</t>
        </is>
      </c>
      <c r="M3022" s="12" t="inlineStr">
        <is>
          <t>12</t>
        </is>
      </c>
      <c r="N3022" s="12" t="n">
        <v>1</v>
      </c>
      <c r="O3022" s="12" t="n">
        <v>1</v>
      </c>
      <c r="P3022" s="12" t="n">
        <v>277</v>
      </c>
      <c r="Q3022" s="12" t="n"/>
      <c r="R3022" s="12" t="n"/>
      <c r="S3022" s="12" t="inlineStr">
        <is>
          <t>Conduit</t>
        </is>
      </c>
      <c r="T3022" s="15" t="n">
        <v>27227</v>
      </c>
      <c r="U3022" s="15" t="n">
        <v>0</v>
      </c>
      <c r="V3022" s="15">
        <f>ROUNDUP((T3022+U3022+2*'Read Me'!$B$13)*(1+'Read Me'!$B$12),-1)</f>
        <v/>
      </c>
      <c r="W3022" s="15">
        <f>V3022*N3022*O3022</f>
        <v/>
      </c>
      <c r="X3022" s="12">
        <f>IF(LEFT(I3022,2)="MV",2*N3022*IF(L3022="1/C",O3022,1),0)</f>
        <v/>
      </c>
      <c r="Y3022" s="12">
        <f>IF(OR(LEFT(K3022,4)="LVAX",LEFT(K3022,6)="MV15AX",LEFT(K3022,4)="CTAX",LEFT(K3022,2)="W|"),2*N3022*O3022,0)</f>
        <v/>
      </c>
      <c r="Z3022" s="12" t="inlineStr">
        <is>
          <t>allowance: 1.6 ft of conductor per ft2 of floor</t>
        </is>
      </c>
      <c r="AA3022" s="12">
        <f>N3022*O3022</f>
        <v/>
      </c>
    </row>
    <row r="3023">
      <c r="A3023" s="12" t="inlineStr">
        <is>
          <t>F-C-0001</t>
        </is>
      </c>
      <c r="B3023" s="12" t="inlineStr">
        <is>
          <t>F</t>
        </is>
      </c>
      <c r="C3023" s="12" t="inlineStr">
        <is>
          <t>Controls / service</t>
        </is>
      </c>
      <c r="D3023" s="12" t="inlineStr">
        <is>
          <t>Control</t>
        </is>
      </c>
      <c r="E3023" s="12" t="inlineStr">
        <is>
          <t>CR</t>
        </is>
      </c>
      <c r="F3023" s="12" t="inlineStr">
        <is>
          <t>Control / admin building (main control room)</t>
        </is>
      </c>
      <c r="G3023" s="12" t="inlineStr">
        <is>
          <t>CR</t>
        </is>
      </c>
      <c r="H3023" s="12" t="inlineStr">
        <is>
          <t>Control / admin building (main control room)</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F-C-0002</t>
        </is>
      </c>
      <c r="B3024" s="12" t="inlineStr">
        <is>
          <t>F</t>
        </is>
      </c>
      <c r="C3024" s="12" t="inlineStr">
        <is>
          <t>Controls / service</t>
        </is>
      </c>
      <c r="D3024" s="12" t="inlineStr">
        <is>
          <t>Control</t>
        </is>
      </c>
      <c r="E3024" s="12" t="inlineStr">
        <is>
          <t>CR</t>
        </is>
      </c>
      <c r="F3024" s="12" t="inlineStr">
        <is>
          <t>Control / admin building (main control room)</t>
        </is>
      </c>
      <c r="G3024" s="12" t="inlineStr"/>
      <c r="H3024" s="12" t="inlineStr">
        <is>
          <t>Control / admin building wiring: power, lighting, fire alarm, data; op</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5" t="n">
        <v>0</v>
      </c>
      <c r="U3024" s="15" t="n">
        <v>32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F-C-0003</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EDG-1</t>
        </is>
      </c>
      <c r="H3025" s="12" t="inlineStr">
        <is>
          <t>EDG-1: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626</v>
      </c>
      <c r="U3025" s="15" t="n">
        <v>62</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F-C-0004</t>
        </is>
      </c>
      <c r="B3026" s="12" t="inlineStr">
        <is>
          <t>F</t>
        </is>
      </c>
      <c r="C3026" s="12" t="inlineStr">
        <is>
          <t>Controls / service</t>
        </is>
      </c>
      <c r="D3026" s="12" t="inlineStr">
        <is>
          <t>Control</t>
        </is>
      </c>
      <c r="E3026" s="12" t="inlineStr">
        <is>
          <t>CR</t>
        </is>
      </c>
      <c r="F3026" s="12" t="inlineStr">
        <is>
          <t>Control / admin building (main control room)</t>
        </is>
      </c>
      <c r="G3026" s="12" t="inlineStr">
        <is>
          <t>EDG-2</t>
        </is>
      </c>
      <c r="H3026" s="12" t="inlineStr">
        <is>
          <t>EDG-2: 3 MW emergency diesel generator (480 V)</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661</v>
      </c>
      <c r="U3026" s="15" t="n">
        <v>65</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F-C-0005</t>
        </is>
      </c>
      <c r="B3027" s="12" t="inlineStr">
        <is>
          <t>F</t>
        </is>
      </c>
      <c r="C3027" s="12" t="inlineStr">
        <is>
          <t>Controls / service</t>
        </is>
      </c>
      <c r="D3027" s="12" t="inlineStr">
        <is>
          <t>Control</t>
        </is>
      </c>
      <c r="E3027" s="12" t="inlineStr">
        <is>
          <t>CR</t>
        </is>
      </c>
      <c r="F3027" s="12" t="inlineStr">
        <is>
          <t>Control / admin building (main control room)</t>
        </is>
      </c>
      <c r="G3027" s="12" t="inlineStr"/>
      <c r="H3027" s="12" t="inlineStr">
        <is>
          <t>Flammable / hazmat storage building (lube-oil drums, chemicals, gas cy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Duct bank</t>
        </is>
      </c>
      <c r="T3027" s="15" t="n">
        <v>366</v>
      </c>
      <c r="U3027" s="15" t="n">
        <v>62</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F-C-0006</t>
        </is>
      </c>
      <c r="B3028" s="12" t="inlineStr">
        <is>
          <t>F</t>
        </is>
      </c>
      <c r="C3028" s="12" t="inlineStr">
        <is>
          <t>Controls / service</t>
        </is>
      </c>
      <c r="D3028" s="12" t="inlineStr">
        <is>
          <t>Control</t>
        </is>
      </c>
      <c r="E3028" s="12" t="inlineStr">
        <is>
          <t>CR</t>
        </is>
      </c>
      <c r="F3028" s="12" t="inlineStr">
        <is>
          <t>Control / admin building (main control room)</t>
        </is>
      </c>
      <c r="G3028" s="12" t="inlineStr"/>
      <c r="H3028" s="12" t="inlineStr">
        <is>
          <t>Gatehouse</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Duct bank</t>
        </is>
      </c>
      <c r="T3028" s="15" t="n">
        <v>38</v>
      </c>
      <c r="U3028" s="15" t="n">
        <v>32</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F-C-0007</t>
        </is>
      </c>
      <c r="B3029" s="12" t="inlineStr">
        <is>
          <t>F</t>
        </is>
      </c>
      <c r="C3029" s="12" t="inlineStr">
        <is>
          <t>Controls / service</t>
        </is>
      </c>
      <c r="D3029" s="12" t="inlineStr">
        <is>
          <t>Motor 1 of 2: control / local station</t>
        </is>
      </c>
      <c r="E3029" s="12" t="inlineStr">
        <is>
          <t>MCC-C2</t>
        </is>
      </c>
      <c r="F3029" s="12" t="inlineStr">
        <is>
          <t>R1 MCC-C2</t>
        </is>
      </c>
      <c r="G3029" s="12" t="inlineStr">
        <is>
          <t>LS-1</t>
        </is>
      </c>
      <c r="H3029" s="12" t="inlineStr">
        <is>
          <t>LS-1: sanitary lift station (packaged duplex)</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745</v>
      </c>
      <c r="U3029" s="15" t="n">
        <v>162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F-C-0008</t>
        </is>
      </c>
      <c r="B3030" s="12" t="inlineStr">
        <is>
          <t>F</t>
        </is>
      </c>
      <c r="C3030" s="12" t="inlineStr">
        <is>
          <t>Controls / service</t>
        </is>
      </c>
      <c r="D3030" s="12" t="inlineStr">
        <is>
          <t>Motor 2 of 2: control / local station</t>
        </is>
      </c>
      <c r="E3030" s="12" t="inlineStr">
        <is>
          <t>MCC-C2</t>
        </is>
      </c>
      <c r="F3030" s="12" t="inlineStr">
        <is>
          <t>R1 MCC-C2</t>
        </is>
      </c>
      <c r="G3030" s="12" t="inlineStr">
        <is>
          <t>LS-1</t>
        </is>
      </c>
      <c r="H3030" s="12" t="inlineStr">
        <is>
          <t>LS-1: sanitary lift station (packaged duplex)</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5" t="n">
        <v>745</v>
      </c>
      <c r="U3030" s="15" t="n">
        <v>162</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F-C-0009</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 xml:space="preserve">Main gate checkpoint: islands, access-control devices, CCTV and their </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5" t="n">
        <v>33</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F-C-0010</t>
        </is>
      </c>
      <c r="B3032" s="12" t="inlineStr">
        <is>
          <t>F</t>
        </is>
      </c>
      <c r="C3032" s="12" t="inlineStr">
        <is>
          <t>Controls / service</t>
        </is>
      </c>
      <c r="D3032" s="12" t="inlineStr">
        <is>
          <t>Control</t>
        </is>
      </c>
      <c r="E3032" s="12" t="inlineStr">
        <is>
          <t>RH</t>
        </is>
      </c>
      <c r="F3032" s="12" t="inlineStr">
        <is>
          <t>RH: switchyard relay / control house (52 x 70 ft)</t>
        </is>
      </c>
      <c r="G3032" s="12" t="inlineStr"/>
      <c r="H3032" s="12" t="inlineStr">
        <is>
          <t>Main gate: sliding gate, barrier arms, card readers, entrance sign</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5" t="n">
        <v>900</v>
      </c>
      <c r="U3032" s="15" t="n">
        <v>237</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F-C-0011</t>
        </is>
      </c>
      <c r="B3033" s="12" t="inlineStr">
        <is>
          <t>F</t>
        </is>
      </c>
      <c r="C3033" s="12" t="inlineStr">
        <is>
          <t>Controls / service</t>
        </is>
      </c>
      <c r="D3033" s="12" t="inlineStr">
        <is>
          <t>Control</t>
        </is>
      </c>
      <c r="E3033" s="12" t="inlineStr">
        <is>
          <t>CR</t>
        </is>
      </c>
      <c r="F3033" s="12" t="inlineStr">
        <is>
          <t>Control / admin building (main control room)</t>
        </is>
      </c>
      <c r="G3033" s="12" t="inlineStr"/>
      <c r="H3033" s="12" t="inlineStr">
        <is>
          <t>Maintenance building / workshop</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356</v>
      </c>
      <c r="U3033" s="15" t="n">
        <v>32</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F-C-0012</t>
        </is>
      </c>
      <c r="B3034" s="12" t="inlineStr">
        <is>
          <t>F</t>
        </is>
      </c>
      <c r="C3034" s="12" t="inlineStr">
        <is>
          <t>Controls / service</t>
        </is>
      </c>
      <c r="D3034" s="12" t="inlineStr">
        <is>
          <t>Control</t>
        </is>
      </c>
      <c r="E3034" s="12" t="inlineStr">
        <is>
          <t>CR</t>
        </is>
      </c>
      <c r="F3034" s="12" t="inlineStr">
        <is>
          <t>Control / admin building (main control room)</t>
        </is>
      </c>
      <c r="G3034" s="12" t="inlineStr"/>
      <c r="H3034" s="12" t="inlineStr">
        <is>
          <t>Perimeter fence barbed-wire arms and CCTV cameras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5" t="n">
        <v>2486</v>
      </c>
      <c r="U3034" s="15" t="n">
        <v>264</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F-C-0013</t>
        </is>
      </c>
      <c r="B3035" s="12" t="inlineStr">
        <is>
          <t>F</t>
        </is>
      </c>
      <c r="C3035" s="12" t="inlineStr">
        <is>
          <t>Controls / service</t>
        </is>
      </c>
      <c r="D3035" s="12" t="inlineStr">
        <is>
          <t>Motor 1 of 2: control / local station</t>
        </is>
      </c>
      <c r="E3035" s="12" t="inlineStr">
        <is>
          <t>MCC-C2</t>
        </is>
      </c>
      <c r="F3035" s="12" t="inlineStr">
        <is>
          <t>R1 MCC-C2</t>
        </is>
      </c>
      <c r="G3035" s="12" t="inlineStr"/>
      <c r="H3035" s="12" t="inlineStr">
        <is>
          <t>Stormwater pump station (2 x 100% submersible pumps)</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5" t="n">
        <v>1832</v>
      </c>
      <c r="U3035" s="15" t="n">
        <v>145</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F-C-0014</t>
        </is>
      </c>
      <c r="B3036" s="12" t="inlineStr">
        <is>
          <t>F</t>
        </is>
      </c>
      <c r="C3036" s="12" t="inlineStr">
        <is>
          <t>Controls / service</t>
        </is>
      </c>
      <c r="D3036" s="12" t="inlineStr">
        <is>
          <t>Motor 2 of 2: control / local station</t>
        </is>
      </c>
      <c r="E3036" s="12" t="inlineStr">
        <is>
          <t>MCC-C2</t>
        </is>
      </c>
      <c r="F3036" s="12" t="inlineStr">
        <is>
          <t>R1 MCC-C2</t>
        </is>
      </c>
      <c r="G3036" s="12" t="inlineStr"/>
      <c r="H3036" s="12" t="inlineStr">
        <is>
          <t>Stormwater pump station (2 x 100% submersible pumps)</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5" t="n">
        <v>1832</v>
      </c>
      <c r="U3036" s="15" t="n">
        <v>145</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F-C-0015</t>
        </is>
      </c>
      <c r="B3037" s="12" t="inlineStr">
        <is>
          <t>F</t>
        </is>
      </c>
      <c r="C3037" s="12" t="inlineStr">
        <is>
          <t>Controls / service</t>
        </is>
      </c>
      <c r="D3037" s="12" t="inlineStr">
        <is>
          <t>Control</t>
        </is>
      </c>
      <c r="E3037" s="12" t="inlineStr">
        <is>
          <t>CR</t>
        </is>
      </c>
      <c r="F3037" s="12" t="inlineStr">
        <is>
          <t>Control / admin building (main control room)</t>
        </is>
      </c>
      <c r="G3037" s="12" t="inlineStr"/>
      <c r="H3037" s="12" t="inlineStr">
        <is>
          <t>Warehouse</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5" t="n">
        <v>37</v>
      </c>
      <c r="U3037" s="15" t="n">
        <v>109</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F-F-0001</t>
        </is>
      </c>
      <c r="B3038" s="12" t="inlineStr">
        <is>
          <t>F</t>
        </is>
      </c>
      <c r="C3038" s="12" t="inlineStr">
        <is>
          <t>Controls / service</t>
        </is>
      </c>
      <c r="D3038" s="12" t="inlineStr">
        <is>
          <t>Plant network / DCS fibre</t>
        </is>
      </c>
      <c r="E3038" s="12" t="inlineStr">
        <is>
          <t>CR</t>
        </is>
      </c>
      <c r="F3038" s="12" t="inlineStr">
        <is>
          <t>Control / admin building (main control room)</t>
        </is>
      </c>
      <c r="G3038" s="12" t="inlineStr">
        <is>
          <t>CR</t>
        </is>
      </c>
      <c r="H3038" s="12" t="inlineStr">
        <is>
          <t>Control / admin building (main control room)</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Tray</t>
        </is>
      </c>
      <c r="T3038" s="15" t="n">
        <v>0</v>
      </c>
      <c r="U3038" s="15" t="n">
        <v>32</v>
      </c>
      <c r="V3038" s="15">
        <f>ROUNDUP((T3038+U3038+2*'Read Me'!$B$13)*(1+'Read Me'!$B$12),-1)</f>
        <v/>
      </c>
      <c r="W3038" s="15">
        <f>V3038*N3038*O3038</f>
        <v/>
      </c>
      <c r="X3038" s="12">
        <f>IF(LEFT(I3038,2)="MV",2*N3038*IF(L3038="1/C",O3038,1),0)</f>
        <v/>
      </c>
      <c r="Y3038" s="12">
        <f>IF(OR(LEFT(K3038,4)="LVAX",LEFT(K3038,6)="MV15AX",LEFT(K3038,4)="CTAX",LEFT(K3038,2)="W|"),2*N3038*O3038,0)</f>
        <v/>
      </c>
      <c r="Z3038" s="12" t="inlineStr"/>
      <c r="AA3038" s="12">
        <f>N3038*O3038</f>
        <v/>
      </c>
    </row>
    <row r="3039">
      <c r="A3039" s="12" t="inlineStr">
        <is>
          <t>F-F-0002</t>
        </is>
      </c>
      <c r="B3039" s="12" t="inlineStr">
        <is>
          <t>F</t>
        </is>
      </c>
      <c r="C3039" s="12" t="inlineStr">
        <is>
          <t>Controls / service</t>
        </is>
      </c>
      <c r="D3039" s="12" t="inlineStr">
        <is>
          <t>Plant network / DCS fibre</t>
        </is>
      </c>
      <c r="E3039" s="12" t="inlineStr">
        <is>
          <t>CR</t>
        </is>
      </c>
      <c r="F3039" s="12" t="inlineStr">
        <is>
          <t>Control / admin building (main control room)</t>
        </is>
      </c>
      <c r="G3039" s="12" t="inlineStr"/>
      <c r="H3039" s="12" t="inlineStr">
        <is>
          <t>Control / admin building wiring: power, lighting, fire alarm, data; op</t>
        </is>
      </c>
      <c r="I3039" s="12" t="inlineStr">
        <is>
          <t>Fibre / data</t>
        </is>
      </c>
      <c r="J3039" s="12" t="inlineStr">
        <is>
          <t>Fibre optic, single-mode, 12-fibre, armored, orange jacket</t>
        </is>
      </c>
      <c r="K3039" s="12" t="inlineStr">
        <is>
          <t>FO|12 SM|-</t>
        </is>
      </c>
      <c r="L3039" s="12" t="inlineStr">
        <is>
          <t>12 SM</t>
        </is>
      </c>
      <c r="M3039" s="12" t="inlineStr">
        <is>
          <t>-</t>
        </is>
      </c>
      <c r="N3039" s="12" t="n">
        <v>1</v>
      </c>
      <c r="O3039" s="12" t="n">
        <v>1</v>
      </c>
      <c r="P3039" s="12" t="n"/>
      <c r="Q3039" s="12" t="n"/>
      <c r="R3039" s="12" t="n"/>
      <c r="S3039" s="12" t="inlineStr">
        <is>
          <t>Tray</t>
        </is>
      </c>
      <c r="T3039" s="15" t="n">
        <v>0</v>
      </c>
      <c r="U3039" s="15" t="n">
        <v>32</v>
      </c>
      <c r="V3039" s="15">
        <f>ROUNDUP((T3039+U3039+2*'Read Me'!$B$13)*(1+'Read Me'!$B$12),-1)</f>
        <v/>
      </c>
      <c r="W3039" s="15">
        <f>V3039*N3039*O3039</f>
        <v/>
      </c>
      <c r="X3039" s="12">
        <f>IF(LEFT(I3039,2)="MV",2*N3039*IF(L3039="1/C",O3039,1),0)</f>
        <v/>
      </c>
      <c r="Y3039" s="12">
        <f>IF(OR(LEFT(K3039,4)="LVAX",LEFT(K3039,6)="MV15AX",LEFT(K3039,4)="CTAX",LEFT(K3039,2)="W|"),2*N3039*O3039,0)</f>
        <v/>
      </c>
      <c r="Z3039" s="12" t="inlineStr"/>
      <c r="AA3039" s="12">
        <f>N3039*O3039</f>
        <v/>
      </c>
    </row>
    <row r="3040">
      <c r="A3040" s="12" t="inlineStr">
        <is>
          <t>F-F-0003</t>
        </is>
      </c>
      <c r="B3040" s="12" t="inlineStr">
        <is>
          <t>F</t>
        </is>
      </c>
      <c r="C3040" s="12" t="inlineStr">
        <is>
          <t>Controls / service</t>
        </is>
      </c>
      <c r="D3040" s="12" t="inlineStr">
        <is>
          <t>Single-mode fibre MDF to MCR consoles / video wall</t>
        </is>
      </c>
      <c r="E3040" s="12" t="inlineStr">
        <is>
          <t>MDF</t>
        </is>
      </c>
      <c r="F3040" s="12" t="inlineStr">
        <is>
          <t>Control / admin building: MDF</t>
        </is>
      </c>
      <c r="G3040" s="12" t="inlineStr">
        <is>
          <t>MCR consoles / video wall</t>
        </is>
      </c>
      <c r="H3040" s="12" t="inlineStr">
        <is>
          <t>Control / admin building: MCR consoles / video wall</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121</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F-F-0004</t>
        </is>
      </c>
      <c r="B3041" s="12" t="inlineStr">
        <is>
          <t>F</t>
        </is>
      </c>
      <c r="C3041" s="12" t="inlineStr">
        <is>
          <t>Controls / service</t>
        </is>
      </c>
      <c r="D3041" s="12" t="inlineStr">
        <is>
          <t>Cat 6A data drops (116 + 48 server-room links)</t>
        </is>
      </c>
      <c r="E3041" s="12" t="inlineStr">
        <is>
          <t>MDF</t>
        </is>
      </c>
      <c r="F3041" s="12" t="inlineStr">
        <is>
          <t>Control / admin building: MDF</t>
        </is>
      </c>
      <c r="G3041" s="12" t="inlineStr">
        <is>
          <t>data drops</t>
        </is>
      </c>
      <c r="H3041" s="12" t="inlineStr">
        <is>
          <t>Control / admin building: data drops</t>
        </is>
      </c>
      <c r="I3041" s="12" t="inlineStr">
        <is>
          <t>Fibre / data</t>
        </is>
      </c>
      <c r="J3041" s="12" t="inlineStr">
        <is>
          <t>Cat 6A U/FTP 4-pair 23 AWG, plenum CMP (data drops)</t>
        </is>
      </c>
      <c r="K3041" s="12" t="inlineStr">
        <is>
          <t>CAT6|4-pr|23</t>
        </is>
      </c>
      <c r="L3041" s="12" t="inlineStr">
        <is>
          <t>4-pr</t>
        </is>
      </c>
      <c r="M3041" s="12" t="inlineStr">
        <is>
          <t>23</t>
        </is>
      </c>
      <c r="N3041" s="12" t="n">
        <v>1</v>
      </c>
      <c r="O3041" s="12" t="n">
        <v>1</v>
      </c>
      <c r="P3041" s="12" t="n"/>
      <c r="Q3041" s="12" t="n"/>
      <c r="R3041" s="12" t="n"/>
      <c r="S3041" s="12" t="inlineStr">
        <is>
          <t>Basket tray</t>
        </is>
      </c>
      <c r="T3041" s="15" t="n">
        <v>17332</v>
      </c>
      <c r="U3041" s="15" t="n">
        <v>0</v>
      </c>
      <c r="V3041" s="15">
        <f>ROUNDUP((T3041+U3041+2*'Read Me'!$B$13)*(1+'Read Me'!$B$12),-1)</f>
        <v/>
      </c>
      <c r="W3041" s="15">
        <f>V3041*N3041*O3041</f>
        <v/>
      </c>
      <c r="X3041" s="12">
        <f>IF(LEFT(I3041,2)="MV",2*N3041*IF(L3041="1/C",O3041,1),0)</f>
        <v/>
      </c>
      <c r="Y3041" s="12">
        <f>IF(OR(LEFT(K3041,4)="LVAX",LEFT(K3041,6)="MV15AX",LEFT(K3041,4)="CTAX",LEFT(K3041,2)="W|"),2*N3041*O3041,0)</f>
        <v/>
      </c>
      <c r="Z3041" s="12" t="inlineStr">
        <is>
          <t>basket tray + J-hooks, measured</t>
        </is>
      </c>
      <c r="AA3041" s="12">
        <f>N3041*O3041</f>
        <v/>
      </c>
    </row>
    <row r="3042">
      <c r="A3042" s="12" t="inlineStr">
        <is>
          <t>F-F-0005</t>
        </is>
      </c>
      <c r="B3042" s="12" t="inlineStr">
        <is>
          <t>F</t>
        </is>
      </c>
      <c r="C3042" s="12" t="inlineStr">
        <is>
          <t>Controls / service</t>
        </is>
      </c>
      <c r="D3042" s="12" t="inlineStr">
        <is>
          <t>Single-mode fibre MDF to server room</t>
        </is>
      </c>
      <c r="E3042" s="12" t="inlineStr">
        <is>
          <t>MDF</t>
        </is>
      </c>
      <c r="F3042" s="12" t="inlineStr">
        <is>
          <t>Control / admin building: MDF</t>
        </is>
      </c>
      <c r="G3042" s="12" t="inlineStr">
        <is>
          <t>server room</t>
        </is>
      </c>
      <c r="H3042" s="12" t="inlineStr">
        <is>
          <t>Control / admin building: server room</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Basket tray</t>
        </is>
      </c>
      <c r="T3042" s="15" t="n">
        <v>63</v>
      </c>
      <c r="U3042" s="15" t="n">
        <v>0</v>
      </c>
      <c r="V3042" s="15">
        <f>ROUNDUP((T3042+U3042+2*'Read Me'!$B$13)*(1+'Read Me'!$B$12),-1)</f>
        <v/>
      </c>
      <c r="W3042" s="15">
        <f>V3042*N3042*O3042</f>
        <v/>
      </c>
      <c r="X3042" s="12">
        <f>IF(LEFT(I3042,2)="MV",2*N3042*IF(L3042="1/C",O3042,1),0)</f>
        <v/>
      </c>
      <c r="Y3042" s="12">
        <f>IF(OR(LEFT(K3042,4)="LVAX",LEFT(K3042,6)="MV15AX",LEFT(K3042,4)="CTAX",LEFT(K3042,2)="W|"),2*N3042*O3042,0)</f>
        <v/>
      </c>
      <c r="Z3042" s="12" t="inlineStr">
        <is>
          <t>in innerduct</t>
        </is>
      </c>
      <c r="AA3042" s="12">
        <f>N3042*O3042</f>
        <v/>
      </c>
    </row>
    <row r="3043">
      <c r="A3043" s="12" t="inlineStr">
        <is>
          <t>F-F-0006</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Flammable / hazmat storage building (lube-oil drums, chemicals, gas cy</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Duct bank</t>
        </is>
      </c>
      <c r="T3043" s="15" t="n">
        <v>366</v>
      </c>
      <c r="U3043" s="15" t="n">
        <v>62</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F-F-0007</t>
        </is>
      </c>
      <c r="B3044" s="12" t="inlineStr">
        <is>
          <t>F</t>
        </is>
      </c>
      <c r="C3044" s="12" t="inlineStr">
        <is>
          <t>Controls / service</t>
        </is>
      </c>
      <c r="D3044" s="12" t="inlineStr">
        <is>
          <t>Plant network / DCS fibre</t>
        </is>
      </c>
      <c r="E3044" s="12" t="inlineStr">
        <is>
          <t>CR</t>
        </is>
      </c>
      <c r="F3044" s="12" t="inlineStr">
        <is>
          <t>Control / admin building (main control room)</t>
        </is>
      </c>
      <c r="G3044" s="12" t="inlineStr"/>
      <c r="H3044" s="12" t="inlineStr">
        <is>
          <t>Gatehouse</t>
        </is>
      </c>
      <c r="I3044" s="12" t="inlineStr">
        <is>
          <t>Fibre / data</t>
        </is>
      </c>
      <c r="J3044" s="12" t="inlineStr">
        <is>
          <t>Fibre optic, single-mode, 12-fibre, armored, orange jacket</t>
        </is>
      </c>
      <c r="K3044" s="12" t="inlineStr">
        <is>
          <t>FO|12 SM|-</t>
        </is>
      </c>
      <c r="L3044" s="12" t="inlineStr">
        <is>
          <t>12 SM</t>
        </is>
      </c>
      <c r="M3044" s="12" t="inlineStr">
        <is>
          <t>-</t>
        </is>
      </c>
      <c r="N3044" s="12" t="n">
        <v>1</v>
      </c>
      <c r="O3044" s="12" t="n">
        <v>1</v>
      </c>
      <c r="P3044" s="12" t="n"/>
      <c r="Q3044" s="12" t="n"/>
      <c r="R3044" s="12" t="n"/>
      <c r="S3044" s="12" t="inlineStr">
        <is>
          <t>Duct bank</t>
        </is>
      </c>
      <c r="T3044" s="15" t="n">
        <v>38</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F-F-0008</t>
        </is>
      </c>
      <c r="B3045" s="12" t="inlineStr">
        <is>
          <t>F</t>
        </is>
      </c>
      <c r="C3045" s="12" t="inlineStr">
        <is>
          <t>Controls / service</t>
        </is>
      </c>
      <c r="D3045" s="12" t="inlineStr">
        <is>
          <t>Plant network / DCS fibre</t>
        </is>
      </c>
      <c r="E3045" s="12" t="inlineStr">
        <is>
          <t>CR</t>
        </is>
      </c>
      <c r="F3045" s="12" t="inlineStr">
        <is>
          <t>Control / admin building (main control room)</t>
        </is>
      </c>
      <c r="G3045" s="12" t="inlineStr"/>
      <c r="H3045" s="12" t="inlineStr">
        <is>
          <t>Maintenance building / workshop</t>
        </is>
      </c>
      <c r="I3045" s="12" t="inlineStr">
        <is>
          <t>Fibre / data</t>
        </is>
      </c>
      <c r="J3045" s="12" t="inlineStr">
        <is>
          <t>Fibre optic, single-mode, 12-fibre, armored, orange jacket</t>
        </is>
      </c>
      <c r="K3045" s="12" t="inlineStr">
        <is>
          <t>FO|12 SM|-</t>
        </is>
      </c>
      <c r="L3045" s="12" t="inlineStr">
        <is>
          <t>12 SM</t>
        </is>
      </c>
      <c r="M3045" s="12" t="inlineStr">
        <is>
          <t>-</t>
        </is>
      </c>
      <c r="N3045" s="12" t="n">
        <v>1</v>
      </c>
      <c r="O3045" s="12" t="n">
        <v>1</v>
      </c>
      <c r="P3045" s="12" t="n"/>
      <c r="Q3045" s="12" t="n"/>
      <c r="R3045" s="12" t="n"/>
      <c r="S3045" s="12" t="inlineStr">
        <is>
          <t>Duct bank</t>
        </is>
      </c>
      <c r="T3045" s="15" t="n">
        <v>356</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F-F-0009</t>
        </is>
      </c>
      <c r="B3046" s="12" t="inlineStr">
        <is>
          <t>F</t>
        </is>
      </c>
      <c r="C3046" s="12" t="inlineStr">
        <is>
          <t>Controls / service</t>
        </is>
      </c>
      <c r="D3046" s="12" t="inlineStr">
        <is>
          <t>Plant network / DCS fibre</t>
        </is>
      </c>
      <c r="E3046" s="12" t="inlineStr">
        <is>
          <t>CR</t>
        </is>
      </c>
      <c r="F3046" s="12" t="inlineStr">
        <is>
          <t>Control / admin building (main control room)</t>
        </is>
      </c>
      <c r="G3046" s="12" t="inlineStr"/>
      <c r="H3046" s="12" t="inlineStr">
        <is>
          <t>Warehouse</t>
        </is>
      </c>
      <c r="I3046" s="12" t="inlineStr">
        <is>
          <t>Fibre / data</t>
        </is>
      </c>
      <c r="J3046" s="12" t="inlineStr">
        <is>
          <t>Fibre optic, single-mode, 12-fibre, armored, orange jacket</t>
        </is>
      </c>
      <c r="K3046" s="12" t="inlineStr">
        <is>
          <t>FO|12 SM|-</t>
        </is>
      </c>
      <c r="L3046" s="12" t="inlineStr">
        <is>
          <t>12 SM</t>
        </is>
      </c>
      <c r="M3046" s="12" t="inlineStr">
        <is>
          <t>-</t>
        </is>
      </c>
      <c r="N3046" s="12" t="n">
        <v>1</v>
      </c>
      <c r="O3046" s="12" t="n">
        <v>1</v>
      </c>
      <c r="P3046" s="12" t="n"/>
      <c r="Q3046" s="12" t="n"/>
      <c r="R3046" s="12" t="n"/>
      <c r="S3046" s="12" t="inlineStr">
        <is>
          <t>Tray</t>
        </is>
      </c>
      <c r="T3046" s="15" t="n">
        <v>37</v>
      </c>
      <c r="U3046" s="15" t="n">
        <v>109</v>
      </c>
      <c r="V3046" s="15">
        <f>ROUNDUP((T3046+U3046+2*'Read Me'!$B$13)*(1+'Read Me'!$B$12),-1)</f>
        <v/>
      </c>
      <c r="W3046" s="15">
        <f>V3046*N3046*O3046</f>
        <v/>
      </c>
      <c r="X3046" s="12">
        <f>IF(LEFT(I3046,2)="MV",2*N3046*IF(L3046="1/C",O3046,1),0)</f>
        <v/>
      </c>
      <c r="Y3046" s="12">
        <f>IF(OR(LEFT(K3046,4)="LVAX",LEFT(K3046,6)="MV15AX",LEFT(K3046,4)="CTAX",LEFT(K3046,2)="W|"),2*N3046*O3046,0)</f>
        <v/>
      </c>
      <c r="Z3046" s="12" t="inlineStr"/>
      <c r="AA3046" s="12">
        <f>N3046*O3046</f>
        <v/>
      </c>
    </row>
    <row r="3047">
      <c r="A3047" s="12" t="inlineStr">
        <is>
          <t>F-FA-0001</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CR</t>
        </is>
      </c>
      <c r="H3047" s="12" t="inlineStr">
        <is>
          <t>Control / admin building (main control room)</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Tray</t>
        </is>
      </c>
      <c r="T3047" s="15" t="n">
        <v>0</v>
      </c>
      <c r="U3047" s="15" t="n">
        <v>32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F-FA-0002</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c r="H3048" s="12" t="inlineStr">
        <is>
          <t>Control / admin building wiring: power, lighting, fire alarm, data; op</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Tray</t>
        </is>
      </c>
      <c r="T3048" s="15" t="n">
        <v>0</v>
      </c>
      <c r="U3048" s="15" t="n">
        <v>32</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F-FA-0003</t>
        </is>
      </c>
      <c r="B3049" s="12" t="inlineStr">
        <is>
          <t>F</t>
        </is>
      </c>
      <c r="C3049" s="12" t="inlineStr">
        <is>
          <t>Controls / service</t>
        </is>
      </c>
      <c r="D3049" s="12" t="inlineStr">
        <is>
          <t>Fire-alarm SLC / NAC loop: detectors, horn / strobes, pull stations</t>
        </is>
      </c>
      <c r="E3049" s="12" t="inlineStr">
        <is>
          <t>FACP (MCR)</t>
        </is>
      </c>
      <c r="F3049" s="12" t="inlineStr">
        <is>
          <t>Control / admin building: FACP (MCR)</t>
        </is>
      </c>
      <c r="G3049" s="12" t="inlineStr">
        <is>
          <t>fire-alarm loop</t>
        </is>
      </c>
      <c r="H3049" s="12" t="inlineStr">
        <is>
          <t>Control / admin building: fire-alarm loop</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v>24</v>
      </c>
      <c r="Q3049" s="12" t="n"/>
      <c r="R3049" s="12" t="n"/>
      <c r="S3049" s="12" t="inlineStr">
        <is>
          <t>J-hooks</t>
        </is>
      </c>
      <c r="T3049" s="15" t="n">
        <v>830</v>
      </c>
      <c r="U3049" s="15" t="n">
        <v>0</v>
      </c>
      <c r="V3049" s="15">
        <f>ROUNDUP((T3049+U3049+2*'Read Me'!$B$13)*(1+'Read Me'!$B$12),-1)</f>
        <v/>
      </c>
      <c r="W3049" s="15">
        <f>V3049*N3049*O3049</f>
        <v/>
      </c>
      <c r="X3049" s="12">
        <f>IF(LEFT(I3049,2)="MV",2*N3049*IF(L3049="1/C",O3049,1),0)</f>
        <v/>
      </c>
      <c r="Y3049" s="12">
        <f>IF(OR(LEFT(K3049,4)="LVAX",LEFT(K3049,6)="MV15AX",LEFT(K3049,4)="CTAX",LEFT(K3049,2)="W|"),2*N3049*O3049,0)</f>
        <v/>
      </c>
      <c r="Z3049" s="12" t="inlineStr">
        <is>
          <t>FPLR on J-hooks, measured</t>
        </is>
      </c>
      <c r="AA3049" s="12">
        <f>N3049*O3049</f>
        <v/>
      </c>
    </row>
    <row r="3050">
      <c r="A3050" s="12" t="inlineStr">
        <is>
          <t>F-FA-0004</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is>
          <t>EDG-1</t>
        </is>
      </c>
      <c r="H3050" s="12" t="inlineStr">
        <is>
          <t>EDG-1: 3 MW emergency diesel generator (480 V)</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626</v>
      </c>
      <c r="U3050" s="15" t="n">
        <v>62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F-FA-0005</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is>
          <t>EDG-2</t>
        </is>
      </c>
      <c r="H3051" s="12" t="inlineStr">
        <is>
          <t>EDG-2: 3 MW emergency diesel generator (480 V)</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Duct bank</t>
        </is>
      </c>
      <c r="T3051" s="15" t="n">
        <v>661</v>
      </c>
      <c r="U3051" s="15" t="n">
        <v>65</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F-FA-0006</t>
        </is>
      </c>
      <c r="B3052" s="12" t="inlineStr">
        <is>
          <t>F</t>
        </is>
      </c>
      <c r="C3052" s="12" t="inlineStr">
        <is>
          <t>Controls / service</t>
        </is>
      </c>
      <c r="D3052" s="12" t="inlineStr">
        <is>
          <t>Fire alarm / F&amp;G loop (to the local FACP / F&amp;G node)</t>
        </is>
      </c>
      <c r="E3052" s="12" t="inlineStr">
        <is>
          <t>CR</t>
        </is>
      </c>
      <c r="F3052" s="12" t="inlineStr">
        <is>
          <t>Control / admin building (main control room)</t>
        </is>
      </c>
      <c r="G3052" s="12" t="inlineStr"/>
      <c r="H3052" s="12" t="inlineStr">
        <is>
          <t>Flammable / hazmat storage building (lube-oil drums, chemicals, gas cy</t>
        </is>
      </c>
      <c r="I3052" s="12" t="inlineStr">
        <is>
          <t>Fire alarm</t>
        </is>
      </c>
      <c r="J3052" s="12" t="inlineStr">
        <is>
          <t>Fire alarm FPLR 2/C #14 shielded, red jacket (NEC 760)</t>
        </is>
      </c>
      <c r="K3052" s="12" t="inlineStr">
        <is>
          <t>FA|2/C|14</t>
        </is>
      </c>
      <c r="L3052" s="12" t="inlineStr">
        <is>
          <t>2/C</t>
        </is>
      </c>
      <c r="M3052" s="12" t="inlineStr">
        <is>
          <t>14</t>
        </is>
      </c>
      <c r="N3052" s="12" t="n">
        <v>1</v>
      </c>
      <c r="O3052" s="12" t="n">
        <v>1</v>
      </c>
      <c r="P3052" s="12" t="n"/>
      <c r="Q3052" s="12" t="n"/>
      <c r="R3052" s="12" t="n"/>
      <c r="S3052" s="12" t="inlineStr">
        <is>
          <t>Duct bank</t>
        </is>
      </c>
      <c r="T3052" s="15" t="n">
        <v>366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F-FA-0007</t>
        </is>
      </c>
      <c r="B3053" s="12" t="inlineStr">
        <is>
          <t>F</t>
        </is>
      </c>
      <c r="C3053" s="12" t="inlineStr">
        <is>
          <t>Controls / service</t>
        </is>
      </c>
      <c r="D3053" s="12" t="inlineStr">
        <is>
          <t>Fire alarm / F&amp;G loop (to the local FACP / F&amp;G node)</t>
        </is>
      </c>
      <c r="E3053" s="12" t="inlineStr">
        <is>
          <t>CR</t>
        </is>
      </c>
      <c r="F3053" s="12" t="inlineStr">
        <is>
          <t>Control / admin building (main control room)</t>
        </is>
      </c>
      <c r="G3053" s="12" t="inlineStr"/>
      <c r="H3053" s="12" t="inlineStr">
        <is>
          <t>Gatehouse</t>
        </is>
      </c>
      <c r="I3053" s="12" t="inlineStr">
        <is>
          <t>Fire alarm</t>
        </is>
      </c>
      <c r="J3053" s="12" t="inlineStr">
        <is>
          <t>Fire alarm FPLR 2/C #14 shielded, red jacket (NEC 760)</t>
        </is>
      </c>
      <c r="K3053" s="12" t="inlineStr">
        <is>
          <t>FA|2/C|14</t>
        </is>
      </c>
      <c r="L3053" s="12" t="inlineStr">
        <is>
          <t>2/C</t>
        </is>
      </c>
      <c r="M3053" s="12" t="inlineStr">
        <is>
          <t>14</t>
        </is>
      </c>
      <c r="N3053" s="12" t="n">
        <v>1</v>
      </c>
      <c r="O3053" s="12" t="n">
        <v>1</v>
      </c>
      <c r="P3053" s="12" t="n"/>
      <c r="Q3053" s="12" t="n"/>
      <c r="R3053" s="12" t="n"/>
      <c r="S3053" s="12" t="inlineStr">
        <is>
          <t>Duct bank</t>
        </is>
      </c>
      <c r="T3053" s="15" t="n">
        <v>38</v>
      </c>
      <c r="U3053" s="15" t="n">
        <v>32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F-FA-0008</t>
        </is>
      </c>
      <c r="B3054" s="12" t="inlineStr">
        <is>
          <t>F</t>
        </is>
      </c>
      <c r="C3054" s="12" t="inlineStr">
        <is>
          <t>Controls / service</t>
        </is>
      </c>
      <c r="D3054" s="12" t="inlineStr">
        <is>
          <t>Fire alarm / F&amp;G loop (to the local FACP / F&amp;G node)</t>
        </is>
      </c>
      <c r="E3054" s="12" t="inlineStr">
        <is>
          <t>CR</t>
        </is>
      </c>
      <c r="F3054" s="12" t="inlineStr">
        <is>
          <t>Control / admin building (main control room)</t>
        </is>
      </c>
      <c r="G3054" s="12" t="inlineStr"/>
      <c r="H3054" s="12" t="inlineStr">
        <is>
          <t>Maintenance building / workshop</t>
        </is>
      </c>
      <c r="I3054" s="12" t="inlineStr">
        <is>
          <t>Fire alarm</t>
        </is>
      </c>
      <c r="J3054" s="12" t="inlineStr">
        <is>
          <t>Fire alarm FPLR 2/C #14 shielded, red jacket (NEC 760)</t>
        </is>
      </c>
      <c r="K3054" s="12" t="inlineStr">
        <is>
          <t>FA|2/C|14</t>
        </is>
      </c>
      <c r="L3054" s="12" t="inlineStr">
        <is>
          <t>2/C</t>
        </is>
      </c>
      <c r="M3054" s="12" t="inlineStr">
        <is>
          <t>14</t>
        </is>
      </c>
      <c r="N3054" s="12" t="n">
        <v>1</v>
      </c>
      <c r="O3054" s="12" t="n">
        <v>1</v>
      </c>
      <c r="P3054" s="12" t="n"/>
      <c r="Q3054" s="12" t="n"/>
      <c r="R3054" s="12" t="n"/>
      <c r="S3054" s="12" t="inlineStr">
        <is>
          <t>Duct bank</t>
        </is>
      </c>
      <c r="T3054" s="15" t="n">
        <v>356</v>
      </c>
      <c r="U3054" s="15" t="n">
        <v>32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F-FA-0009</t>
        </is>
      </c>
      <c r="B3055" s="12" t="inlineStr">
        <is>
          <t>F</t>
        </is>
      </c>
      <c r="C3055" s="12" t="inlineStr">
        <is>
          <t>Controls / service</t>
        </is>
      </c>
      <c r="D3055" s="12" t="inlineStr">
        <is>
          <t>Fire alarm / F&amp;G loop (to the local FACP / F&amp;G node)</t>
        </is>
      </c>
      <c r="E3055" s="12" t="inlineStr">
        <is>
          <t>CR</t>
        </is>
      </c>
      <c r="F3055" s="12" t="inlineStr">
        <is>
          <t>Control / admin building (main control room)</t>
        </is>
      </c>
      <c r="G3055" s="12" t="inlineStr"/>
      <c r="H3055" s="12" t="inlineStr">
        <is>
          <t>Warehouse</t>
        </is>
      </c>
      <c r="I3055" s="12" t="inlineStr">
        <is>
          <t>Fire alarm</t>
        </is>
      </c>
      <c r="J3055" s="12" t="inlineStr">
        <is>
          <t>Fire alarm FPLR 2/C #14 shielded, red jacket (NEC 760)</t>
        </is>
      </c>
      <c r="K3055" s="12" t="inlineStr">
        <is>
          <t>FA|2/C|14</t>
        </is>
      </c>
      <c r="L3055" s="12" t="inlineStr">
        <is>
          <t>2/C</t>
        </is>
      </c>
      <c r="M3055" s="12" t="inlineStr">
        <is>
          <t>14</t>
        </is>
      </c>
      <c r="N3055" s="12" t="n">
        <v>1</v>
      </c>
      <c r="O3055" s="12" t="n">
        <v>1</v>
      </c>
      <c r="P3055" s="12" t="n"/>
      <c r="Q3055" s="12" t="n"/>
      <c r="R3055" s="12" t="n"/>
      <c r="S3055" s="12" t="inlineStr">
        <is>
          <t>Tray</t>
        </is>
      </c>
      <c r="T3055" s="15" t="n">
        <v>37</v>
      </c>
      <c r="U3055" s="15" t="n">
        <v>109</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F-I-0001</t>
        </is>
      </c>
      <c r="B3056" s="12" t="inlineStr">
        <is>
          <t>F</t>
        </is>
      </c>
      <c r="C3056" s="12" t="inlineStr">
        <is>
          <t>Controls / service</t>
        </is>
      </c>
      <c r="D3056" s="12" t="inlineStr">
        <is>
          <t>Instrumentation</t>
        </is>
      </c>
      <c r="E3056" s="12" t="inlineStr">
        <is>
          <t>CR</t>
        </is>
      </c>
      <c r="F3056" s="12" t="inlineStr">
        <is>
          <t>Control / admin building (main control room)</t>
        </is>
      </c>
      <c r="G3056" s="12" t="inlineStr">
        <is>
          <t>EDG-1</t>
        </is>
      </c>
      <c r="H3056" s="12" t="inlineStr">
        <is>
          <t>EDG-1: 3 MW emergency diesel generator (480 V)</t>
        </is>
      </c>
      <c r="I3056" s="12" t="inlineStr">
        <is>
          <t>Instrumentation</t>
        </is>
      </c>
      <c r="J3056" s="12" t="inlineStr">
        <is>
          <t>Instrumentation PLTC / TC-ER 300 V, #18 twisted shielded pairs, overall shield</t>
        </is>
      </c>
      <c r="K3056" s="12" t="inlineStr">
        <is>
          <t>PLTC|4 pr|18</t>
        </is>
      </c>
      <c r="L3056" s="12" t="inlineStr">
        <is>
          <t>4 pr</t>
        </is>
      </c>
      <c r="M3056" s="12" t="inlineStr">
        <is>
          <t>18</t>
        </is>
      </c>
      <c r="N3056" s="12" t="n">
        <v>1</v>
      </c>
      <c r="O3056" s="12" t="n">
        <v>1</v>
      </c>
      <c r="P3056" s="12" t="n"/>
      <c r="Q3056" s="12" t="n"/>
      <c r="R3056" s="12" t="n"/>
      <c r="S3056" s="12" t="inlineStr">
        <is>
          <t>Duct bank</t>
        </is>
      </c>
      <c r="T3056" s="15" t="n">
        <v>626</v>
      </c>
      <c r="U3056" s="15" t="n">
        <v>62</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F-I-0002</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EDG-1</t>
        </is>
      </c>
      <c r="H3057" s="12" t="inlineStr">
        <is>
          <t>EDG-1: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626</v>
      </c>
      <c r="U3057" s="15" t="n">
        <v>62</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F-I-0003</t>
        </is>
      </c>
      <c r="B3058" s="12" t="inlineStr">
        <is>
          <t>F</t>
        </is>
      </c>
      <c r="C3058" s="12" t="inlineStr">
        <is>
          <t>Controls / service</t>
        </is>
      </c>
      <c r="D3058" s="12" t="inlineStr">
        <is>
          <t>Thermocouples</t>
        </is>
      </c>
      <c r="E3058" s="12" t="inlineStr">
        <is>
          <t>CR</t>
        </is>
      </c>
      <c r="F3058" s="12" t="inlineStr">
        <is>
          <t>Control / admin building (main control room)</t>
        </is>
      </c>
      <c r="G3058" s="12" t="inlineStr">
        <is>
          <t>EDG-1</t>
        </is>
      </c>
      <c r="H3058" s="12" t="inlineStr">
        <is>
          <t>EDG-1: 3 MW emergency diesel generator (480 V)</t>
        </is>
      </c>
      <c r="I3058" s="12" t="inlineStr">
        <is>
          <t>Instrumentation</t>
        </is>
      </c>
      <c r="J3058" s="12" t="inlineStr">
        <is>
          <t>Thermocouple extension KX, #16 shielded pairs, PLTC</t>
        </is>
      </c>
      <c r="K3058" s="12" t="inlineStr">
        <is>
          <t>TCX|12 pr|16</t>
        </is>
      </c>
      <c r="L3058" s="12" t="inlineStr">
        <is>
          <t>12 pr</t>
        </is>
      </c>
      <c r="M3058" s="12" t="inlineStr">
        <is>
          <t>16</t>
        </is>
      </c>
      <c r="N3058" s="12" t="n">
        <v>1</v>
      </c>
      <c r="O3058" s="12" t="n">
        <v>1</v>
      </c>
      <c r="P3058" s="12" t="n"/>
      <c r="Q3058" s="12" t="n"/>
      <c r="R3058" s="12" t="n"/>
      <c r="S3058" s="12" t="inlineStr">
        <is>
          <t>Duct bank</t>
        </is>
      </c>
      <c r="T3058" s="15" t="n">
        <v>626</v>
      </c>
      <c r="U3058" s="15" t="n">
        <v>62</v>
      </c>
      <c r="V3058" s="15">
        <f>ROUNDUP((T3058+U3058+2*'Read Me'!$B$13)*(1+'Read Me'!$B$12),-1)</f>
        <v/>
      </c>
      <c r="W3058" s="15">
        <f>V3058*N3058*O3058</f>
        <v/>
      </c>
      <c r="X3058" s="12">
        <f>IF(LEFT(I3058,2)="MV",2*N3058*IF(L3058="1/C",O3058,1),0)</f>
        <v/>
      </c>
      <c r="Y3058" s="12">
        <f>IF(OR(LEFT(K3058,4)="LVAX",LEFT(K3058,6)="MV15AX",LEFT(K3058,4)="CTAX",LEFT(K3058,2)="W|"),2*N3058*O3058,0)</f>
        <v/>
      </c>
      <c r="Z3058" s="12" t="inlineStr"/>
      <c r="AA3058" s="12">
        <f>N3058*O3058</f>
        <v/>
      </c>
    </row>
    <row r="3059">
      <c r="A3059" s="12" t="inlineStr">
        <is>
          <t>F-I-0004</t>
        </is>
      </c>
      <c r="B3059" s="12" t="inlineStr">
        <is>
          <t>F</t>
        </is>
      </c>
      <c r="C3059" s="12" t="inlineStr">
        <is>
          <t>Controls / service</t>
        </is>
      </c>
      <c r="D3059" s="12" t="inlineStr">
        <is>
          <t>Instrumentation</t>
        </is>
      </c>
      <c r="E3059" s="12" t="inlineStr">
        <is>
          <t>CR</t>
        </is>
      </c>
      <c r="F3059" s="12" t="inlineStr">
        <is>
          <t>Control / admin building (main control room)</t>
        </is>
      </c>
      <c r="G3059" s="12" t="inlineStr">
        <is>
          <t>EDG-2</t>
        </is>
      </c>
      <c r="H3059" s="12" t="inlineStr">
        <is>
          <t>EDG-2: 3 MW emergency diesel generator (480 V)</t>
        </is>
      </c>
      <c r="I3059" s="12" t="inlineStr">
        <is>
          <t>Instrumentation</t>
        </is>
      </c>
      <c r="J3059" s="12" t="inlineStr">
        <is>
          <t>Instrumentation PLTC / TC-ER 300 V, #18 twisted shielded pairs, overall shield</t>
        </is>
      </c>
      <c r="K3059" s="12" t="inlineStr">
        <is>
          <t>PLTC|4 pr|18</t>
        </is>
      </c>
      <c r="L3059" s="12" t="inlineStr">
        <is>
          <t>4 pr</t>
        </is>
      </c>
      <c r="M3059" s="12" t="inlineStr">
        <is>
          <t>18</t>
        </is>
      </c>
      <c r="N3059" s="12" t="n">
        <v>1</v>
      </c>
      <c r="O3059" s="12" t="n">
        <v>1</v>
      </c>
      <c r="P3059" s="12" t="n"/>
      <c r="Q3059" s="12" t="n"/>
      <c r="R3059" s="12" t="n"/>
      <c r="S3059" s="12" t="inlineStr">
        <is>
          <t>Duct bank</t>
        </is>
      </c>
      <c r="T3059" s="15" t="n">
        <v>661</v>
      </c>
      <c r="U3059" s="15" t="n">
        <v>65</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F-I-0005</t>
        </is>
      </c>
      <c r="B3060" s="12" t="inlineStr">
        <is>
          <t>F</t>
        </is>
      </c>
      <c r="C3060" s="12" t="inlineStr">
        <is>
          <t>Controls / service</t>
        </is>
      </c>
      <c r="D3060" s="12" t="inlineStr">
        <is>
          <t>Thermocouples</t>
        </is>
      </c>
      <c r="E3060" s="12" t="inlineStr">
        <is>
          <t>CR</t>
        </is>
      </c>
      <c r="F3060" s="12" t="inlineStr">
        <is>
          <t>Control / admin building (main control room)</t>
        </is>
      </c>
      <c r="G3060" s="12" t="inlineStr">
        <is>
          <t>EDG-2</t>
        </is>
      </c>
      <c r="H3060" s="12" t="inlineStr">
        <is>
          <t>EDG-2: 3 MW emergency diesel generator (480 V)</t>
        </is>
      </c>
      <c r="I3060" s="12" t="inlineStr">
        <is>
          <t>Instrumentation</t>
        </is>
      </c>
      <c r="J3060" s="12" t="inlineStr">
        <is>
          <t>Thermocouple extension KX, #16 shielded pairs, PLTC</t>
        </is>
      </c>
      <c r="K3060" s="12" t="inlineStr">
        <is>
          <t>TCX|12 pr|16</t>
        </is>
      </c>
      <c r="L3060" s="12" t="inlineStr">
        <is>
          <t>12 pr</t>
        </is>
      </c>
      <c r="M3060" s="12" t="inlineStr">
        <is>
          <t>16</t>
        </is>
      </c>
      <c r="N3060" s="12" t="n">
        <v>1</v>
      </c>
      <c r="O3060" s="12" t="n">
        <v>1</v>
      </c>
      <c r="P3060" s="12" t="n"/>
      <c r="Q3060" s="12" t="n"/>
      <c r="R3060" s="12" t="n"/>
      <c r="S3060" s="12" t="inlineStr">
        <is>
          <t>Duct bank</t>
        </is>
      </c>
      <c r="T3060" s="15" t="n">
        <v>661</v>
      </c>
      <c r="U3060" s="15" t="n">
        <v>65</v>
      </c>
      <c r="V3060" s="15">
        <f>ROUNDUP((T3060+U3060+2*'Read Me'!$B$13)*(1+'Read Me'!$B$12),-1)</f>
        <v/>
      </c>
      <c r="W3060" s="15">
        <f>V3060*N3060*O3060</f>
        <v/>
      </c>
      <c r="X3060" s="12">
        <f>IF(LEFT(I3060,2)="MV",2*N3060*IF(L3060="1/C",O3060,1),0)</f>
        <v/>
      </c>
      <c r="Y3060" s="12">
        <f>IF(OR(LEFT(K3060,4)="LVAX",LEFT(K3060,6)="MV15AX",LEFT(K3060,4)="CTAX",LEFT(K3060,2)="W|"),2*N3060*O3060,0)</f>
        <v/>
      </c>
      <c r="Z3060" s="12" t="inlineStr"/>
      <c r="AA3060" s="12">
        <f>N3060*O3060</f>
        <v/>
      </c>
    </row>
    <row r="3061">
      <c r="A3061" s="12" t="inlineStr">
        <is>
          <t>F-I-0006</t>
        </is>
      </c>
      <c r="B3061" s="12" t="inlineStr">
        <is>
          <t>F</t>
        </is>
      </c>
      <c r="C3061" s="12" t="inlineStr">
        <is>
          <t>Controls / service</t>
        </is>
      </c>
      <c r="D3061" s="12" t="inlineStr">
        <is>
          <t>Thermocouples</t>
        </is>
      </c>
      <c r="E3061" s="12" t="inlineStr">
        <is>
          <t>CR</t>
        </is>
      </c>
      <c r="F3061" s="12" t="inlineStr">
        <is>
          <t>Control / admin building (main control room)</t>
        </is>
      </c>
      <c r="G3061" s="12" t="inlineStr">
        <is>
          <t>EDG-2</t>
        </is>
      </c>
      <c r="H3061" s="12" t="inlineStr">
        <is>
          <t>EDG-2: 3 MW emergency diesel generator (480 V)</t>
        </is>
      </c>
      <c r="I3061" s="12" t="inlineStr">
        <is>
          <t>Instrumentation</t>
        </is>
      </c>
      <c r="J3061" s="12" t="inlineStr">
        <is>
          <t>Thermocouple extension KX, #16 shielded pairs, PLTC</t>
        </is>
      </c>
      <c r="K3061" s="12" t="inlineStr">
        <is>
          <t>TCX|12 pr|16</t>
        </is>
      </c>
      <c r="L3061" s="12" t="inlineStr">
        <is>
          <t>12 pr</t>
        </is>
      </c>
      <c r="M3061" s="12" t="inlineStr">
        <is>
          <t>16</t>
        </is>
      </c>
      <c r="N3061" s="12" t="n">
        <v>1</v>
      </c>
      <c r="O3061" s="12" t="n">
        <v>1</v>
      </c>
      <c r="P3061" s="12" t="n"/>
      <c r="Q3061" s="12" t="n"/>
      <c r="R3061" s="12" t="n"/>
      <c r="S3061" s="12" t="inlineStr">
        <is>
          <t>Duct bank</t>
        </is>
      </c>
      <c r="T3061" s="15" t="n">
        <v>661</v>
      </c>
      <c r="U3061" s="15" t="n">
        <v>65</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F-I-0007</t>
        </is>
      </c>
      <c r="B3062" s="12" t="inlineStr">
        <is>
          <t>F</t>
        </is>
      </c>
      <c r="C3062" s="12" t="inlineStr">
        <is>
          <t>Controls / service</t>
        </is>
      </c>
      <c r="D3062" s="12" t="inlineStr">
        <is>
          <t>Analog instrument to JB JB-LS-1-AI01: 2 x 1 pr (field cables)</t>
        </is>
      </c>
      <c r="E3062" s="12" t="inlineStr">
        <is>
          <t>LS-1</t>
        </is>
      </c>
      <c r="F3062" s="12" t="inlineStr">
        <is>
          <t>LS-1: sanitary lift station (packaged duplex)</t>
        </is>
      </c>
      <c r="G3062" s="12" t="inlineStr">
        <is>
          <t>JB-LS-1-AI01</t>
        </is>
      </c>
      <c r="H3062" s="12" t="inlineStr">
        <is>
          <t>LS-1: sanitary lift station (packaged duplex)</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2</v>
      </c>
      <c r="O3062" s="12" t="n">
        <v>1</v>
      </c>
      <c r="P3062" s="12" t="n"/>
      <c r="Q3062" s="12" t="n"/>
      <c r="R3062" s="12" t="n"/>
      <c r="S3062" s="12" t="inlineStr">
        <is>
          <t>Tray / conduit</t>
        </is>
      </c>
      <c r="T3062" s="15" t="n">
        <v>40</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F-I-0008</t>
        </is>
      </c>
      <c r="B3063" s="12" t="inlineStr">
        <is>
          <t>F</t>
        </is>
      </c>
      <c r="C3063" s="12" t="inlineStr">
        <is>
          <t>Controls / service</t>
        </is>
      </c>
      <c r="D3063" s="12" t="inlineStr">
        <is>
          <t>Home run JB-LS-1-AI01 to the control / marshalling room</t>
        </is>
      </c>
      <c r="E3063" s="12" t="inlineStr">
        <is>
          <t>CR</t>
        </is>
      </c>
      <c r="F3063" s="12" t="inlineStr">
        <is>
          <t>Control / admin building (main control room)</t>
        </is>
      </c>
      <c r="G3063" s="12" t="inlineStr">
        <is>
          <t>JB-LS-1-AI01</t>
        </is>
      </c>
      <c r="H3063" s="12" t="inlineStr">
        <is>
          <t>LS-1: sanitary lift station (packaged duplex)</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367</v>
      </c>
      <c r="U3063" s="15" t="n">
        <v>49</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F-I-0009</t>
        </is>
      </c>
      <c r="B3064" s="12" t="inlineStr">
        <is>
          <t>F</t>
        </is>
      </c>
      <c r="C3064" s="12" t="inlineStr">
        <is>
          <t>Controls / service</t>
        </is>
      </c>
      <c r="D3064" s="12" t="inlineStr">
        <is>
          <t>Discrete device to JB JB-LS-1-DI01: 4 x 1 pr (field cables)</t>
        </is>
      </c>
      <c r="E3064" s="12" t="inlineStr">
        <is>
          <t>LS-1</t>
        </is>
      </c>
      <c r="F3064" s="12" t="inlineStr">
        <is>
          <t>LS-1: sanitary lift station (packaged duplex)</t>
        </is>
      </c>
      <c r="G3064" s="12" t="inlineStr">
        <is>
          <t>JB-LS-1-DI01</t>
        </is>
      </c>
      <c r="H3064" s="12" t="inlineStr">
        <is>
          <t>LS-1: sanitary lift station (packaged duplex)</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4</v>
      </c>
      <c r="O3064" s="12" t="n">
        <v>1</v>
      </c>
      <c r="P3064" s="12" t="n"/>
      <c r="Q3064" s="12" t="n"/>
      <c r="R3064" s="12" t="n"/>
      <c r="S3064" s="12" t="inlineStr">
        <is>
          <t>Tray / conduit</t>
        </is>
      </c>
      <c r="T3064" s="15" t="n">
        <v>40</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F-I-0010</t>
        </is>
      </c>
      <c r="B3065" s="12" t="inlineStr">
        <is>
          <t>F</t>
        </is>
      </c>
      <c r="C3065" s="12" t="inlineStr">
        <is>
          <t>Controls / service</t>
        </is>
      </c>
      <c r="D3065" s="12" t="inlineStr">
        <is>
          <t>Home run JB-LS-1-DI01 to the control / marshalling room</t>
        </is>
      </c>
      <c r="E3065" s="12" t="inlineStr">
        <is>
          <t>CR</t>
        </is>
      </c>
      <c r="F3065" s="12" t="inlineStr">
        <is>
          <t>Control / admin building (main control room)</t>
        </is>
      </c>
      <c r="G3065" s="12" t="inlineStr">
        <is>
          <t>JB-LS-1-DI01</t>
        </is>
      </c>
      <c r="H3065" s="12" t="inlineStr">
        <is>
          <t>LS-1: sanitary lift station (packaged duplex)</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367</v>
      </c>
      <c r="U3065" s="15" t="n">
        <v>49</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F-I-0011</t>
        </is>
      </c>
      <c r="B3066" s="12" t="inlineStr">
        <is>
          <t>F</t>
        </is>
      </c>
      <c r="C3066" s="12" t="inlineStr">
        <is>
          <t>Controls / service</t>
        </is>
      </c>
      <c r="D3066" s="12" t="inlineStr">
        <is>
          <t>Analog instrument to JB JB-Stormwater pump st-AI01: 4 x 1 pr (field cables)</t>
        </is>
      </c>
      <c r="E3066" s="12" t="inlineStr"/>
      <c r="F3066" s="12" t="inlineStr">
        <is>
          <t>Stormwater pump station (2 x 100% submersible pumps)</t>
        </is>
      </c>
      <c r="G3066" s="12" t="inlineStr">
        <is>
          <t>JB-Stormwater pump st-AI01</t>
        </is>
      </c>
      <c r="H3066" s="12" t="inlineStr">
        <is>
          <t>Stormwater pump station (2 x 100% submersible pumps)</t>
        </is>
      </c>
      <c r="I3066" s="12" t="inlineStr">
        <is>
          <t>Instrumentation</t>
        </is>
      </c>
      <c r="J3066" s="12" t="inlineStr">
        <is>
          <t>Instrumentation PLTC / TC-ER 300 V, #18 twisted shielded pairs, overall shield</t>
        </is>
      </c>
      <c r="K3066" s="12" t="inlineStr">
        <is>
          <t>PLTC|1 pr|16</t>
        </is>
      </c>
      <c r="L3066" s="12" t="inlineStr">
        <is>
          <t>1 pr</t>
        </is>
      </c>
      <c r="M3066" s="12" t="inlineStr">
        <is>
          <t>16</t>
        </is>
      </c>
      <c r="N3066" s="12" t="n">
        <v>4</v>
      </c>
      <c r="O3066" s="12" t="n">
        <v>1</v>
      </c>
      <c r="P3066" s="12" t="n"/>
      <c r="Q3066" s="12" t="n"/>
      <c r="R3066" s="12" t="n"/>
      <c r="S3066" s="12" t="inlineStr">
        <is>
          <t>Tray / conduit</t>
        </is>
      </c>
      <c r="T3066" s="15" t="n">
        <v>72</v>
      </c>
      <c r="U3066" s="15" t="n">
        <v>10</v>
      </c>
      <c r="V3066" s="15">
        <f>ROUNDUP((T3066+U3066+2*'Read Me'!$B$13)*(1+'Read Me'!$B$12),-1)</f>
        <v/>
      </c>
      <c r="W3066" s="15">
        <f>V3066*N3066*O3066</f>
        <v/>
      </c>
      <c r="X3066" s="12">
        <f>IF(LEFT(I3066,2)="MV",2*N3066*IF(L3066="1/C",O3066,1),0)</f>
        <v/>
      </c>
      <c r="Y3066" s="12">
        <f>IF(OR(LEFT(K3066,4)="LVAX",LEFT(K3066,6)="MV15AX",LEFT(K3066,4)="CTAX",LEFT(K3066,2)="W|"),2*N3066*O3066,0)</f>
        <v/>
      </c>
      <c r="Z3066" s="12" t="inlineStr">
        <is>
          <t>device-to-JB field wiring, one cable per device</t>
        </is>
      </c>
      <c r="AA3066" s="12">
        <f>N3066*O3066</f>
        <v/>
      </c>
    </row>
    <row r="3067">
      <c r="A3067" s="12" t="inlineStr">
        <is>
          <t>F-I-0012</t>
        </is>
      </c>
      <c r="B3067" s="12" t="inlineStr">
        <is>
          <t>F</t>
        </is>
      </c>
      <c r="C3067" s="12" t="inlineStr">
        <is>
          <t>Controls / service</t>
        </is>
      </c>
      <c r="D3067" s="12" t="inlineStr">
        <is>
          <t>Home run JB-Stormwater pump st-AI01 to the control / marshalling room</t>
        </is>
      </c>
      <c r="E3067" s="12" t="inlineStr">
        <is>
          <t>CR</t>
        </is>
      </c>
      <c r="F3067" s="12" t="inlineStr">
        <is>
          <t>Control / admin building (main control room)</t>
        </is>
      </c>
      <c r="G3067" s="12" t="inlineStr">
        <is>
          <t>JB-Stormwater pump st-AI01</t>
        </is>
      </c>
      <c r="H3067" s="12" t="inlineStr">
        <is>
          <t>Stormwater pump station (2 x 100% submersible pumps)</t>
        </is>
      </c>
      <c r="I3067" s="12" t="inlineStr">
        <is>
          <t>Instrumentation</t>
        </is>
      </c>
      <c r="J3067" s="12" t="inlineStr">
        <is>
          <t>Instrumentation PLTC / TC-ER 300 V, #18 twisted shielded pairs, overall shield</t>
        </is>
      </c>
      <c r="K3067" s="12" t="inlineStr">
        <is>
          <t>PLTC|24 pr|18</t>
        </is>
      </c>
      <c r="L3067" s="12" t="inlineStr">
        <is>
          <t>24 pr</t>
        </is>
      </c>
      <c r="M3067" s="12" t="inlineStr">
        <is>
          <t>18</t>
        </is>
      </c>
      <c r="N3067" s="12" t="n">
        <v>1</v>
      </c>
      <c r="O3067" s="12" t="n">
        <v>1</v>
      </c>
      <c r="P3067" s="12" t="n"/>
      <c r="Q3067" s="12" t="n"/>
      <c r="R3067" s="12" t="n"/>
      <c r="S3067" s="12" t="inlineStr">
        <is>
          <t>Duct bank</t>
        </is>
      </c>
      <c r="T3067" s="15" t="n">
        <v>1454</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c r="AA3067" s="12">
        <f>N3067*O3067</f>
        <v/>
      </c>
    </row>
    <row r="3068">
      <c r="A3068" s="12" t="inlineStr">
        <is>
          <t>F-I-0013</t>
        </is>
      </c>
      <c r="B3068" s="12" t="inlineStr">
        <is>
          <t>F</t>
        </is>
      </c>
      <c r="C3068" s="12" t="inlineStr">
        <is>
          <t>Controls / service</t>
        </is>
      </c>
      <c r="D3068" s="12" t="inlineStr">
        <is>
          <t>Discrete device to JB JB-Stormwater pump st-DI01: 6 x 1 pr (field cables)</t>
        </is>
      </c>
      <c r="E3068" s="12" t="inlineStr"/>
      <c r="F3068" s="12" t="inlineStr">
        <is>
          <t>Stormwater pump station (2 x 100% submersible pumps)</t>
        </is>
      </c>
      <c r="G3068" s="12" t="inlineStr">
        <is>
          <t>JB-Stormwater pump st-DI01</t>
        </is>
      </c>
      <c r="H3068" s="12" t="inlineStr">
        <is>
          <t>Stormwater pump station (2 x 100% submersible pumps)</t>
        </is>
      </c>
      <c r="I3068" s="12" t="inlineStr">
        <is>
          <t>Instrumentation</t>
        </is>
      </c>
      <c r="J3068" s="12" t="inlineStr">
        <is>
          <t>Instrumentation PLTC / TC-ER 300 V, #18 twisted shielded pairs, overall shield</t>
        </is>
      </c>
      <c r="K3068" s="12" t="inlineStr">
        <is>
          <t>PLTC|1 pr|16</t>
        </is>
      </c>
      <c r="L3068" s="12" t="inlineStr">
        <is>
          <t>1 pr</t>
        </is>
      </c>
      <c r="M3068" s="12" t="inlineStr">
        <is>
          <t>16</t>
        </is>
      </c>
      <c r="N3068" s="12" t="n">
        <v>6</v>
      </c>
      <c r="O3068" s="12" t="n">
        <v>1</v>
      </c>
      <c r="P3068" s="12" t="n"/>
      <c r="Q3068" s="12" t="n"/>
      <c r="R3068" s="12" t="n"/>
      <c r="S3068" s="12" t="inlineStr">
        <is>
          <t>Tray / conduit</t>
        </is>
      </c>
      <c r="T3068" s="15" t="n">
        <v>72</v>
      </c>
      <c r="U3068" s="15" t="n">
        <v>10</v>
      </c>
      <c r="V3068" s="15">
        <f>ROUNDUP((T3068+U3068+2*'Read Me'!$B$13)*(1+'Read Me'!$B$12),-1)</f>
        <v/>
      </c>
      <c r="W3068" s="15">
        <f>V3068*N3068*O3068</f>
        <v/>
      </c>
      <c r="X3068" s="12">
        <f>IF(LEFT(I3068,2)="MV",2*N3068*IF(L3068="1/C",O3068,1),0)</f>
        <v/>
      </c>
      <c r="Y3068" s="12">
        <f>IF(OR(LEFT(K3068,4)="LVAX",LEFT(K3068,6)="MV15AX",LEFT(K3068,4)="CTAX",LEFT(K3068,2)="W|"),2*N3068*O3068,0)</f>
        <v/>
      </c>
      <c r="Z3068" s="12" t="inlineStr">
        <is>
          <t>device-to-JB field wiring, one cable per device</t>
        </is>
      </c>
      <c r="AA3068" s="12">
        <f>N3068*O3068</f>
        <v/>
      </c>
    </row>
    <row r="3069">
      <c r="A3069" s="12" t="inlineStr">
        <is>
          <t>F-I-0014</t>
        </is>
      </c>
      <c r="B3069" s="12" t="inlineStr">
        <is>
          <t>F</t>
        </is>
      </c>
      <c r="C3069" s="12" t="inlineStr">
        <is>
          <t>Controls / service</t>
        </is>
      </c>
      <c r="D3069" s="12" t="inlineStr">
        <is>
          <t>Home run JB-Stormwater pump st-DI01 to the control / marshalling room</t>
        </is>
      </c>
      <c r="E3069" s="12" t="inlineStr">
        <is>
          <t>CR</t>
        </is>
      </c>
      <c r="F3069" s="12" t="inlineStr">
        <is>
          <t>Control / admin building (main control room)</t>
        </is>
      </c>
      <c r="G3069" s="12" t="inlineStr">
        <is>
          <t>JB-Stormwater pump st-DI01</t>
        </is>
      </c>
      <c r="H3069" s="12" t="inlineStr">
        <is>
          <t>Stormwater pump station (2 x 100% submersible pumps)</t>
        </is>
      </c>
      <c r="I3069" s="12" t="inlineStr">
        <is>
          <t>Instrumentation</t>
        </is>
      </c>
      <c r="J3069" s="12" t="inlineStr">
        <is>
          <t>Instrumentation PLTC / TC-ER 300 V, #18 twisted shielded pairs, overall shield</t>
        </is>
      </c>
      <c r="K3069" s="12" t="inlineStr">
        <is>
          <t>PLTC|24 pr|18</t>
        </is>
      </c>
      <c r="L3069" s="12" t="inlineStr">
        <is>
          <t>24 pr</t>
        </is>
      </c>
      <c r="M3069" s="12" t="inlineStr">
        <is>
          <t>18</t>
        </is>
      </c>
      <c r="N3069" s="12" t="n">
        <v>1</v>
      </c>
      <c r="O3069" s="12" t="n">
        <v>1</v>
      </c>
      <c r="P3069" s="12" t="n"/>
      <c r="Q3069" s="12" t="n"/>
      <c r="R3069" s="12" t="n"/>
      <c r="S3069" s="12" t="inlineStr">
        <is>
          <t>Duct bank</t>
        </is>
      </c>
      <c r="T3069" s="15" t="n">
        <v>1454</v>
      </c>
      <c r="U3069" s="15" t="n">
        <v>32</v>
      </c>
      <c r="V3069" s="15">
        <f>ROUNDUP((T3069+U3069+2*'Read Me'!$B$13)*(1+'Read Me'!$B$12),-1)</f>
        <v/>
      </c>
      <c r="W3069" s="15">
        <f>V3069*N3069*O3069</f>
        <v/>
      </c>
      <c r="X3069" s="12">
        <f>IF(LEFT(I3069,2)="MV",2*N3069*IF(L3069="1/C",O3069,1),0)</f>
        <v/>
      </c>
      <c r="Y3069" s="12">
        <f>IF(OR(LEFT(K3069,4)="LVAX",LEFT(K3069,6)="MV15AX",LEFT(K3069,4)="CTAX",LEFT(K3069,2)="W|"),2*N3069*O3069,0)</f>
        <v/>
      </c>
      <c r="Z3069" s="12" t="inlineStr"/>
      <c r="AA3069" s="12">
        <f>N3069*O3069</f>
        <v/>
      </c>
    </row>
    <row r="3070">
      <c r="A3070" s="12" t="inlineStr">
        <is>
          <t>F-P-0001</t>
        </is>
      </c>
      <c r="B3070" s="12" t="inlineStr">
        <is>
          <t>F</t>
        </is>
      </c>
      <c r="C3070" s="12" t="inlineStr">
        <is>
          <t>Controls / service</t>
        </is>
      </c>
      <c r="D3070" s="12" t="inlineStr">
        <is>
          <t>LV panel / distribution feeder</t>
        </is>
      </c>
      <c r="E3070" s="12" t="inlineStr">
        <is>
          <t>MCC-C2</t>
        </is>
      </c>
      <c r="F3070" s="12" t="inlineStr">
        <is>
          <t>R1 MCC-C2</t>
        </is>
      </c>
      <c r="G3070" s="12" t="inlineStr">
        <is>
          <t>CR</t>
        </is>
      </c>
      <c r="H3070" s="12" t="inlineStr">
        <is>
          <t>Control / admin building (main control room)</t>
        </is>
      </c>
      <c r="I3070" s="12" t="inlineStr">
        <is>
          <t>LV 600 V</t>
        </is>
      </c>
      <c r="J3070" s="12" t="inlineStr">
        <is>
          <t>Type TC-ER 600 V 3/C Cu XHHW-2 + ground, PVC jacket</t>
        </is>
      </c>
      <c r="K3070" s="12" t="inlineStr">
        <is>
          <t>LV|3/C+G|500</t>
        </is>
      </c>
      <c r="L3070" s="12" t="inlineStr">
        <is>
          <t>3/C+G</t>
        </is>
      </c>
      <c r="M3070" s="12" t="inlineStr">
        <is>
          <t>500 kcmil</t>
        </is>
      </c>
      <c r="N3070" s="12" t="n">
        <v>1</v>
      </c>
      <c r="O3070" s="12" t="n">
        <v>1</v>
      </c>
      <c r="P3070" s="12" t="n">
        <v>480</v>
      </c>
      <c r="Q3070" s="12" t="n">
        <v>145</v>
      </c>
      <c r="R3070" s="12" t="n">
        <v>205.2</v>
      </c>
      <c r="S3070" s="12" t="inlineStr">
        <is>
          <t>Tray</t>
        </is>
      </c>
      <c r="T3070" s="15" t="n">
        <v>1020</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2.4 %</t>
        </is>
      </c>
      <c r="AA3070" s="12">
        <f>N3070*O3070</f>
        <v/>
      </c>
    </row>
    <row r="3071">
      <c r="A3071" s="12" t="inlineStr">
        <is>
          <t>F-P-0002</t>
        </is>
      </c>
      <c r="B3071" s="12" t="inlineStr">
        <is>
          <t>F</t>
        </is>
      </c>
      <c r="C3071" s="12" t="inlineStr">
        <is>
          <t>Controls / service</t>
        </is>
      </c>
      <c r="D3071" s="12" t="inlineStr">
        <is>
          <t>Building service 480 V, 800 A: 3 sets in 4 in PVC</t>
        </is>
      </c>
      <c r="E3071" s="12" t="inlineStr">
        <is>
          <t>service duct bank, north wall x 262</t>
        </is>
      </c>
      <c r="F3071" s="12" t="inlineStr">
        <is>
          <t>Control / admin building: service duct bank, north wall x 262</t>
        </is>
      </c>
      <c r="G3071" s="12" t="inlineStr">
        <is>
          <t>MDP 480 V</t>
        </is>
      </c>
      <c r="H3071" s="12" t="inlineStr">
        <is>
          <t>Control / admin building: MDP 480 V</t>
        </is>
      </c>
      <c r="I3071" s="12" t="inlineStr">
        <is>
          <t>LV 600 V</t>
        </is>
      </c>
      <c r="J3071" s="12" t="inlineStr">
        <is>
          <t>XHHW-2 600 V 1/C Cu (feeder sets in tray / duct)</t>
        </is>
      </c>
      <c r="K3071" s="12" t="inlineStr">
        <is>
          <t>LV1C|1/C|500</t>
        </is>
      </c>
      <c r="L3071" s="12" t="inlineStr">
        <is>
          <t>1/C</t>
        </is>
      </c>
      <c r="M3071" s="12" t="inlineStr">
        <is>
          <t>500 kcmil</t>
        </is>
      </c>
      <c r="N3071" s="12" t="n">
        <v>3</v>
      </c>
      <c r="O3071" s="12" t="n">
        <v>4</v>
      </c>
      <c r="P3071" s="12" t="n">
        <v>480</v>
      </c>
      <c r="Q3071" s="12" t="n">
        <v>480</v>
      </c>
      <c r="R3071" s="12" t="n">
        <v>800</v>
      </c>
      <c r="S3071" s="12" t="inlineStr">
        <is>
          <t>Conduit</t>
        </is>
      </c>
      <c r="T3071" s="15" t="n">
        <v>30</v>
      </c>
      <c r="U3071" s="15" t="n">
        <v>32</v>
      </c>
      <c r="V3071" s="15">
        <f>ROUNDUP((T3071+U3071+2*'Read Me'!$B$13)*(1+'Read Me'!$B$12),-1)</f>
        <v/>
      </c>
      <c r="W3071" s="15">
        <f>V3071*N3071*O3071</f>
        <v/>
      </c>
      <c r="X3071" s="12">
        <f>IF(LEFT(I3071,2)="MV",2*N3071*IF(L3071="1/C",O3071,1),0)</f>
        <v/>
      </c>
      <c r="Y3071" s="12">
        <f>IF(OR(LEFT(K3071,4)="LVAX",LEFT(K3071,6)="MV15AX",LEFT(K3071,4)="CTAX",LEFT(K3071,2)="W|"),2*N3071*O3071,0)</f>
        <v/>
      </c>
      <c r="Z3071" s="12" t="inlineStr">
        <is>
          <t>from the north-wall duct bank; 3 sets 500 kcmil for 125 % (audit, Oct 21)</t>
        </is>
      </c>
      <c r="AA3071" s="12">
        <f>N3071*O3071</f>
        <v/>
      </c>
    </row>
    <row r="3072">
      <c r="A3072" s="12" t="inlineStr">
        <is>
          <t>F-P-0003</t>
        </is>
      </c>
      <c r="B3072" s="12" t="inlineStr">
        <is>
          <t>F</t>
        </is>
      </c>
      <c r="C3072" s="12" t="inlineStr">
        <is>
          <t>Controls / service</t>
        </is>
      </c>
      <c r="D3072" s="12" t="inlineStr">
        <is>
          <t>LV power feeder</t>
        </is>
      </c>
      <c r="E3072" s="12" t="inlineStr">
        <is>
          <t>MCC-C2</t>
        </is>
      </c>
      <c r="F3072" s="12" t="inlineStr">
        <is>
          <t>R1 MCC-C2</t>
        </is>
      </c>
      <c r="G3072" s="12" t="inlineStr">
        <is>
          <t>EDG-1</t>
        </is>
      </c>
      <c r="H3072" s="12" t="inlineStr">
        <is>
          <t>EDG-1: 3 MW emergency diesel generator (480 V)</t>
        </is>
      </c>
      <c r="I3072" s="12" t="inlineStr">
        <is>
          <t>LV 600 V</t>
        </is>
      </c>
      <c r="J3072" s="12" t="inlineStr">
        <is>
          <t>Type TC-ER 600 V 3/C Cu XHHW-2 + ground, PVC jacket</t>
        </is>
      </c>
      <c r="K3072" s="12" t="inlineStr">
        <is>
          <t>LV|3/C+G|4</t>
        </is>
      </c>
      <c r="L3072" s="12" t="inlineStr">
        <is>
          <t>3/C+G</t>
        </is>
      </c>
      <c r="M3072" s="12" t="inlineStr">
        <is>
          <t>4</t>
        </is>
      </c>
      <c r="N3072" s="12" t="n">
        <v>1</v>
      </c>
      <c r="O3072" s="12" t="n">
        <v>1</v>
      </c>
      <c r="P3072" s="12" t="n">
        <v>480</v>
      </c>
      <c r="Q3072" s="12" t="n">
        <v>15</v>
      </c>
      <c r="R3072" s="12" t="n">
        <v>21.2</v>
      </c>
      <c r="S3072" s="12" t="inlineStr">
        <is>
          <t>Tray</t>
        </is>
      </c>
      <c r="T3072" s="15" t="n">
        <v>875</v>
      </c>
      <c r="U3072" s="15" t="n">
        <v>219</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F-P-0004</t>
        </is>
      </c>
      <c r="B3073" s="12" t="inlineStr">
        <is>
          <t>F</t>
        </is>
      </c>
      <c r="C3073" s="12" t="inlineStr">
        <is>
          <t>Controls / service</t>
        </is>
      </c>
      <c r="D3073" s="12" t="inlineStr">
        <is>
          <t>LV power feeder</t>
        </is>
      </c>
      <c r="E3073" s="12" t="inlineStr">
        <is>
          <t>MCC-C2</t>
        </is>
      </c>
      <c r="F3073" s="12" t="inlineStr">
        <is>
          <t>R1 MCC-C2</t>
        </is>
      </c>
      <c r="G3073" s="12" t="inlineStr">
        <is>
          <t>EDG-2</t>
        </is>
      </c>
      <c r="H3073" s="12" t="inlineStr">
        <is>
          <t>EDG-2: 3 MW emergency diesel generator (480 V)</t>
        </is>
      </c>
      <c r="I3073" s="12" t="inlineStr">
        <is>
          <t>LV 600 V</t>
        </is>
      </c>
      <c r="J3073" s="12" t="inlineStr">
        <is>
          <t>Type TC-ER 600 V 3/C Cu XHHW-2 + ground, PVC jacket</t>
        </is>
      </c>
      <c r="K3073" s="12" t="inlineStr">
        <is>
          <t>LV|3/C+G|2</t>
        </is>
      </c>
      <c r="L3073" s="12" t="inlineStr">
        <is>
          <t>3/C+G</t>
        </is>
      </c>
      <c r="M3073" s="12" t="inlineStr">
        <is>
          <t>2</t>
        </is>
      </c>
      <c r="N3073" s="12" t="n">
        <v>1</v>
      </c>
      <c r="O3073" s="12" t="n">
        <v>1</v>
      </c>
      <c r="P3073" s="12" t="n">
        <v>480</v>
      </c>
      <c r="Q3073" s="12" t="n">
        <v>15</v>
      </c>
      <c r="R3073" s="12" t="n">
        <v>21.2</v>
      </c>
      <c r="S3073" s="12" t="inlineStr">
        <is>
          <t>Tray</t>
        </is>
      </c>
      <c r="T3073" s="15" t="n">
        <v>981</v>
      </c>
      <c r="U3073" s="15" t="n">
        <v>193</v>
      </c>
      <c r="V3073" s="15">
        <f>ROUNDUP((T3073+U3073+2*'Read Me'!$B$13)*(1+'Read Me'!$B$12),-1)</f>
        <v/>
      </c>
      <c r="W3073" s="15">
        <f>V3073*N3073*O3073</f>
        <v/>
      </c>
      <c r="X3073" s="12">
        <f>IF(LEFT(I3073,2)="MV",2*N3073*IF(L3073="1/C",O3073,1),0)</f>
        <v/>
      </c>
      <c r="Y3073" s="12">
        <f>IF(OR(LEFT(K3073,4)="LVAX",LEFT(K3073,6)="MV15AX",LEFT(K3073,4)="CTAX",LEFT(K3073,2)="W|"),2*N3073*O3073,0)</f>
        <v/>
      </c>
      <c r="Z3073" s="12" t="inlineStr">
        <is>
          <t>VD 1.9 %</t>
        </is>
      </c>
      <c r="AA3073" s="12">
        <f>N3073*O3073</f>
        <v/>
      </c>
    </row>
    <row r="3074">
      <c r="A3074" s="12" t="inlineStr">
        <is>
          <t>F-P-0005</t>
        </is>
      </c>
      <c r="B3074" s="12" t="inlineStr">
        <is>
          <t>F</t>
        </is>
      </c>
      <c r="C3074" s="12" t="inlineStr">
        <is>
          <t>Controls / service</t>
        </is>
      </c>
      <c r="D3074" s="12" t="inlineStr">
        <is>
          <t>LV panel / distribution feeder</t>
        </is>
      </c>
      <c r="E3074" s="12" t="inlineStr">
        <is>
          <t>MCC-C2</t>
        </is>
      </c>
      <c r="F3074" s="12" t="inlineStr">
        <is>
          <t>R1 MCC-C2</t>
        </is>
      </c>
      <c r="G3074" s="12" t="inlineStr"/>
      <c r="H3074" s="12" t="inlineStr">
        <is>
          <t>Flammable / hazmat storage building (lube-oil drums, chemicals, gas cy</t>
        </is>
      </c>
      <c r="I3074" s="12" t="inlineStr">
        <is>
          <t>LV 600 V</t>
        </is>
      </c>
      <c r="J3074" s="12" t="inlineStr">
        <is>
          <t>Type TC-ER 600 V 3/C Cu XHHW-2 + ground, PVC jacket</t>
        </is>
      </c>
      <c r="K3074" s="12" t="inlineStr">
        <is>
          <t>LV|3/C+G|1</t>
        </is>
      </c>
      <c r="L3074" s="12" t="inlineStr">
        <is>
          <t>3/C+G</t>
        </is>
      </c>
      <c r="M3074" s="12" t="inlineStr">
        <is>
          <t>1</t>
        </is>
      </c>
      <c r="N3074" s="12" t="n">
        <v>1</v>
      </c>
      <c r="O3074" s="12" t="n">
        <v>1</v>
      </c>
      <c r="P3074" s="12" t="n">
        <v>480</v>
      </c>
      <c r="Q3074" s="12" t="n">
        <v>30</v>
      </c>
      <c r="R3074" s="12" t="n">
        <v>42.5</v>
      </c>
      <c r="S3074" s="12" t="inlineStr">
        <is>
          <t>Tray</t>
        </is>
      </c>
      <c r="T3074" s="15" t="n">
        <v>744</v>
      </c>
      <c r="U3074" s="15" t="n">
        <v>175</v>
      </c>
      <c r="V3074" s="15">
        <f>ROUNDUP((T3074+U3074+2*'Read Me'!$B$13)*(1+'Read Me'!$B$12),-1)</f>
        <v/>
      </c>
      <c r="W3074" s="15">
        <f>V3074*N3074*O3074</f>
        <v/>
      </c>
      <c r="X3074" s="12">
        <f>IF(LEFT(I3074,2)="MV",2*N3074*IF(L3074="1/C",O3074,1),0)</f>
        <v/>
      </c>
      <c r="Y3074" s="12">
        <f>IF(OR(LEFT(K3074,4)="LVAX",LEFT(K3074,6)="MV15AX",LEFT(K3074,4)="CTAX",LEFT(K3074,2)="W|"),2*N3074*O3074,0)</f>
        <v/>
      </c>
      <c r="Z3074" s="12" t="inlineStr">
        <is>
          <t>VD 2.4 %</t>
        </is>
      </c>
      <c r="AA3074" s="12">
        <f>N3074*O3074</f>
        <v/>
      </c>
    </row>
    <row r="3075">
      <c r="A3075" s="12" t="inlineStr">
        <is>
          <t>F-P-0006</t>
        </is>
      </c>
      <c r="B3075" s="12" t="inlineStr">
        <is>
          <t>F</t>
        </is>
      </c>
      <c r="C3075" s="12" t="inlineStr">
        <is>
          <t>Controls / service</t>
        </is>
      </c>
      <c r="D3075" s="12" t="inlineStr">
        <is>
          <t>LV panel / distribution feeder</t>
        </is>
      </c>
      <c r="E3075" s="12" t="inlineStr">
        <is>
          <t>MCC-C2</t>
        </is>
      </c>
      <c r="F3075" s="12" t="inlineStr">
        <is>
          <t>R1 MCC-C2</t>
        </is>
      </c>
      <c r="G3075" s="12" t="inlineStr"/>
      <c r="H3075" s="12" t="inlineStr">
        <is>
          <t>Gatehouse</t>
        </is>
      </c>
      <c r="I3075" s="12" t="inlineStr">
        <is>
          <t>LV 600 V</t>
        </is>
      </c>
      <c r="J3075" s="12" t="inlineStr">
        <is>
          <t>Type TC-ER 600 V 3/C Cu XHHW-2 + ground, PVC jacket</t>
        </is>
      </c>
      <c r="K3075" s="12" t="inlineStr">
        <is>
          <t>LV|3/C+G|1/0</t>
        </is>
      </c>
      <c r="L3075" s="12" t="inlineStr">
        <is>
          <t>3/C+G</t>
        </is>
      </c>
      <c r="M3075" s="12" t="inlineStr">
        <is>
          <t>1/0</t>
        </is>
      </c>
      <c r="N3075" s="12" t="n">
        <v>1</v>
      </c>
      <c r="O3075" s="12" t="n">
        <v>1</v>
      </c>
      <c r="P3075" s="12" t="n">
        <v>480</v>
      </c>
      <c r="Q3075" s="12" t="n">
        <v>30</v>
      </c>
      <c r="R3075" s="12" t="n">
        <v>42.5</v>
      </c>
      <c r="S3075" s="12" t="inlineStr">
        <is>
          <t>Tray</t>
        </is>
      </c>
      <c r="T3075" s="15" t="n">
        <v>1049</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2.5 %</t>
        </is>
      </c>
      <c r="AA3075" s="12">
        <f>N3075*O3075</f>
        <v/>
      </c>
    </row>
    <row r="3076">
      <c r="A3076" s="12" t="inlineStr">
        <is>
          <t>F-P-0007</t>
        </is>
      </c>
      <c r="B3076" s="12" t="inlineStr">
        <is>
          <t>F</t>
        </is>
      </c>
      <c r="C3076" s="12" t="inlineStr">
        <is>
          <t>Controls / service</t>
        </is>
      </c>
      <c r="D3076" s="12" t="inlineStr">
        <is>
          <t>Motor 1 of 2, 7 kW</t>
        </is>
      </c>
      <c r="E3076" s="12" t="inlineStr">
        <is>
          <t>MCC-C2</t>
        </is>
      </c>
      <c r="F3076" s="12" t="inlineStr">
        <is>
          <t>R1 MCC-C2</t>
        </is>
      </c>
      <c r="G3076" s="12" t="inlineStr">
        <is>
          <t>LS-1</t>
        </is>
      </c>
      <c r="H3076" s="12" t="inlineStr">
        <is>
          <t>LS-1: sanitary lift station (packaged duplex)</t>
        </is>
      </c>
      <c r="I3076" s="12" t="inlineStr">
        <is>
          <t>LV 600 V</t>
        </is>
      </c>
      <c r="J3076" s="12" t="inlineStr">
        <is>
          <t>Type TC-ER 600 V 3/C Cu XHHW-2 + ground, PVC jacket</t>
        </is>
      </c>
      <c r="K3076" s="12" t="inlineStr">
        <is>
          <t>LV|3/C+G|8</t>
        </is>
      </c>
      <c r="L3076" s="12" t="inlineStr">
        <is>
          <t>3/C+G</t>
        </is>
      </c>
      <c r="M3076" s="12" t="inlineStr">
        <is>
          <t>8</t>
        </is>
      </c>
      <c r="N3076" s="12" t="n">
        <v>1</v>
      </c>
      <c r="O3076" s="12" t="n">
        <v>1</v>
      </c>
      <c r="P3076" s="12" t="n">
        <v>480</v>
      </c>
      <c r="Q3076" s="12" t="n">
        <v>7</v>
      </c>
      <c r="R3076" s="12" t="n">
        <v>9.9</v>
      </c>
      <c r="S3076" s="12" t="inlineStr">
        <is>
          <t>Tray</t>
        </is>
      </c>
      <c r="T3076" s="15" t="n">
        <v>745</v>
      </c>
      <c r="U3076" s="15" t="n">
        <v>162</v>
      </c>
      <c r="V3076" s="15">
        <f>ROUNDUP((T3076+U3076+2*'Read Me'!$B$13)*(1+'Read Me'!$B$12),-1)</f>
        <v/>
      </c>
      <c r="W3076" s="15">
        <f>V3076*N3076*O3076</f>
        <v/>
      </c>
      <c r="X3076" s="12">
        <f>IF(LEFT(I3076,2)="MV",2*N3076*IF(L3076="1/C",O3076,1),0)</f>
        <v/>
      </c>
      <c r="Y3076" s="12">
        <f>IF(OR(LEFT(K3076,4)="LVAX",LEFT(K3076,6)="MV15AX",LEFT(K3076,4)="CTAX",LEFT(K3076,2)="W|"),2*N3076*O3076,0)</f>
        <v/>
      </c>
      <c r="Z3076" s="12" t="inlineStr">
        <is>
          <t>VD 2.7 %</t>
        </is>
      </c>
      <c r="AA3076" s="12">
        <f>N3076*O3076</f>
        <v/>
      </c>
    </row>
    <row r="3077">
      <c r="A3077" s="12" t="inlineStr">
        <is>
          <t>F-P-0008</t>
        </is>
      </c>
      <c r="B3077" s="12" t="inlineStr">
        <is>
          <t>F</t>
        </is>
      </c>
      <c r="C3077" s="12" t="inlineStr">
        <is>
          <t>Controls / service</t>
        </is>
      </c>
      <c r="D3077" s="12" t="inlineStr">
        <is>
          <t>Motor 2 of 2, 7 kW</t>
        </is>
      </c>
      <c r="E3077" s="12" t="inlineStr">
        <is>
          <t>MCC-C2</t>
        </is>
      </c>
      <c r="F3077" s="12" t="inlineStr">
        <is>
          <t>R1 MCC-C2</t>
        </is>
      </c>
      <c r="G3077" s="12" t="inlineStr">
        <is>
          <t>LS-1</t>
        </is>
      </c>
      <c r="H3077" s="12" t="inlineStr">
        <is>
          <t>LS-1: sanitary lift station (packaged duplex)</t>
        </is>
      </c>
      <c r="I3077" s="12" t="inlineStr">
        <is>
          <t>LV 600 V</t>
        </is>
      </c>
      <c r="J3077" s="12" t="inlineStr">
        <is>
          <t>Type TC-ER 600 V 3/C Cu XHHW-2 + ground, PVC jacket</t>
        </is>
      </c>
      <c r="K3077" s="12" t="inlineStr">
        <is>
          <t>LV|3/C+G|8</t>
        </is>
      </c>
      <c r="L3077" s="12" t="inlineStr">
        <is>
          <t>3/C+G</t>
        </is>
      </c>
      <c r="M3077" s="12" t="inlineStr">
        <is>
          <t>8</t>
        </is>
      </c>
      <c r="N3077" s="12" t="n">
        <v>1</v>
      </c>
      <c r="O3077" s="12" t="n">
        <v>1</v>
      </c>
      <c r="P3077" s="12" t="n">
        <v>480</v>
      </c>
      <c r="Q3077" s="12" t="n">
        <v>7</v>
      </c>
      <c r="R3077" s="12" t="n">
        <v>9.9</v>
      </c>
      <c r="S3077" s="12" t="inlineStr">
        <is>
          <t>Tray</t>
        </is>
      </c>
      <c r="T3077" s="15" t="n">
        <v>745</v>
      </c>
      <c r="U3077" s="15" t="n">
        <v>162</v>
      </c>
      <c r="V3077" s="15">
        <f>ROUNDUP((T3077+U3077+2*'Read Me'!$B$13)*(1+'Read Me'!$B$12),-1)</f>
        <v/>
      </c>
      <c r="W3077" s="15">
        <f>V3077*N3077*O3077</f>
        <v/>
      </c>
      <c r="X3077" s="12">
        <f>IF(LEFT(I3077,2)="MV",2*N3077*IF(L3077="1/C",O3077,1),0)</f>
        <v/>
      </c>
      <c r="Y3077" s="12">
        <f>IF(OR(LEFT(K3077,4)="LVAX",LEFT(K3077,6)="MV15AX",LEFT(K3077,4)="CTAX",LEFT(K3077,2)="W|"),2*N3077*O3077,0)</f>
        <v/>
      </c>
      <c r="Z3077" s="12" t="inlineStr">
        <is>
          <t>VD 2.7 %</t>
        </is>
      </c>
      <c r="AA3077" s="12">
        <f>N3077*O3077</f>
        <v/>
      </c>
    </row>
    <row r="3078">
      <c r="A3078" s="12" t="inlineStr">
        <is>
          <t>F-P-0009</t>
        </is>
      </c>
      <c r="B3078" s="12" t="inlineStr">
        <is>
          <t>F</t>
        </is>
      </c>
      <c r="C3078" s="12" t="inlineStr">
        <is>
          <t>Controls / service</t>
        </is>
      </c>
      <c r="D3078" s="12" t="inlineStr">
        <is>
          <t>LV panel / distribution feeder</t>
        </is>
      </c>
      <c r="E3078" s="12" t="inlineStr">
        <is>
          <t>MCC-C2</t>
        </is>
      </c>
      <c r="F3078" s="12" t="inlineStr">
        <is>
          <t>R1 MCC-C2</t>
        </is>
      </c>
      <c r="G3078" s="12" t="inlineStr"/>
      <c r="H3078" s="12" t="inlineStr">
        <is>
          <t>Maintenance building / workshop</t>
        </is>
      </c>
      <c r="I3078" s="12" t="inlineStr">
        <is>
          <t>LV 600 V</t>
        </is>
      </c>
      <c r="J3078" s="12" t="inlineStr">
        <is>
          <t>Type TC-ER 600 V 3/C Cu XHHW-2 + ground, PVC jacket</t>
        </is>
      </c>
      <c r="K3078" s="12" t="inlineStr">
        <is>
          <t>LV|3/C+G|2/0</t>
        </is>
      </c>
      <c r="L3078" s="12" t="inlineStr">
        <is>
          <t>3/C+G</t>
        </is>
      </c>
      <c r="M3078" s="12" t="inlineStr">
        <is>
          <t>2/0</t>
        </is>
      </c>
      <c r="N3078" s="12" t="n">
        <v>1</v>
      </c>
      <c r="O3078" s="12" t="n">
        <v>1</v>
      </c>
      <c r="P3078" s="12" t="n">
        <v>480</v>
      </c>
      <c r="Q3078" s="12" t="n">
        <v>60</v>
      </c>
      <c r="R3078" s="12" t="n">
        <v>84.90000000000001</v>
      </c>
      <c r="S3078" s="12" t="inlineStr">
        <is>
          <t>Tray</t>
        </is>
      </c>
      <c r="T3078" s="15" t="n">
        <v>734</v>
      </c>
      <c r="U3078" s="15" t="n">
        <v>145</v>
      </c>
      <c r="V3078" s="15">
        <f>ROUNDUP((T3078+U3078+2*'Read Me'!$B$13)*(1+'Read Me'!$B$12),-1)</f>
        <v/>
      </c>
      <c r="W3078" s="15">
        <f>V3078*N3078*O3078</f>
        <v/>
      </c>
      <c r="X3078" s="12">
        <f>IF(LEFT(I3078,2)="MV",2*N3078*IF(L3078="1/C",O3078,1),0)</f>
        <v/>
      </c>
      <c r="Y3078" s="12">
        <f>IF(OR(LEFT(K3078,4)="LVAX",LEFT(K3078,6)="MV15AX",LEFT(K3078,4)="CTAX",LEFT(K3078,2)="W|"),2*N3078*O3078,0)</f>
        <v/>
      </c>
      <c r="Z3078" s="12" t="inlineStr">
        <is>
          <t>VD 2.9 %</t>
        </is>
      </c>
      <c r="AA3078" s="12">
        <f>N3078*O3078</f>
        <v/>
      </c>
    </row>
    <row r="3079">
      <c r="A3079" s="12" t="inlineStr">
        <is>
          <t>F-P-0010</t>
        </is>
      </c>
      <c r="B3079" s="12" t="inlineStr">
        <is>
          <t>F</t>
        </is>
      </c>
      <c r="C3079" s="12" t="inlineStr">
        <is>
          <t>Controls / service</t>
        </is>
      </c>
      <c r="D3079" s="12" t="inlineStr">
        <is>
          <t>Site / road lighting: 120 poles, buried circuits pole to pole</t>
        </is>
      </c>
      <c r="E3079" s="12" t="inlineStr"/>
      <c r="F3079" s="12" t="inlineStr">
        <is>
          <t>Site lighting: pole handholes and photocells</t>
        </is>
      </c>
      <c r="G3079" s="12" t="inlineStr"/>
      <c r="H3079" s="12" t="inlineStr">
        <is>
          <t>Site lighting: pole handholes and photocells</t>
        </is>
      </c>
      <c r="I3079" s="12" t="inlineStr">
        <is>
          <t>LV 600 V</t>
        </is>
      </c>
      <c r="J3079" s="12" t="inlineStr">
        <is>
          <t>Type TC-ER 600 V 3/C Cu XHHW-2 + ground, PVC jacket</t>
        </is>
      </c>
      <c r="K3079" s="12" t="inlineStr">
        <is>
          <t>LV|3/C+G|8</t>
        </is>
      </c>
      <c r="L3079" s="12" t="inlineStr">
        <is>
          <t>3/C+G</t>
        </is>
      </c>
      <c r="M3079" s="12" t="inlineStr">
        <is>
          <t>8</t>
        </is>
      </c>
      <c r="N3079" s="12" t="n">
        <v>120</v>
      </c>
      <c r="O3079" s="12" t="n">
        <v>1</v>
      </c>
      <c r="P3079" s="12" t="n">
        <v>480</v>
      </c>
      <c r="Q3079" s="12" t="n"/>
      <c r="R3079" s="12" t="n"/>
      <c r="S3079" s="12" t="inlineStr">
        <is>
          <t>Buried</t>
        </is>
      </c>
      <c r="T3079" s="15" t="n">
        <v>120</v>
      </c>
      <c r="U3079" s="15" t="n">
        <v>30</v>
      </c>
      <c r="V3079" s="15">
        <f>ROUNDUP((T3079+U3079+2*'Read Me'!$B$13)*(1+'Read Me'!$B$12),-1)</f>
        <v/>
      </c>
      <c r="W3079" s="15">
        <f>V3079*N3079*O3079</f>
        <v/>
      </c>
      <c r="X3079" s="12">
        <f>IF(LEFT(I3079,2)="MV",2*N3079*IF(L3079="1/C",O3079,1),0)</f>
        <v/>
      </c>
      <c r="Y3079" s="12">
        <f>IF(OR(LEFT(K3079,4)="LVAX",LEFT(K3079,6)="MV15AX",LEFT(K3079,4)="CTAX",LEFT(K3079,2)="W|"),2*N3079*O3079,0)</f>
        <v/>
      </c>
      <c r="Z3079" s="12" t="inlineStr">
        <is>
          <t>~120 ft between poles + riser</t>
        </is>
      </c>
      <c r="AA3079" s="12">
        <f>N3079*O3079</f>
        <v/>
      </c>
    </row>
    <row r="3080">
      <c r="A3080" s="12" t="inlineStr">
        <is>
          <t>F-P-0011</t>
        </is>
      </c>
      <c r="B3080" s="12" t="inlineStr">
        <is>
          <t>F</t>
        </is>
      </c>
      <c r="C3080" s="12" t="inlineStr">
        <is>
          <t>Controls / service</t>
        </is>
      </c>
      <c r="D3080" s="12" t="inlineStr">
        <is>
          <t>Motor 1 of 2, 75 kW</t>
        </is>
      </c>
      <c r="E3080" s="12" t="inlineStr">
        <is>
          <t>MCC-C2</t>
        </is>
      </c>
      <c r="F3080" s="12" t="inlineStr">
        <is>
          <t>R1 MCC-C2</t>
        </is>
      </c>
      <c r="G3080" s="12" t="inlineStr"/>
      <c r="H3080" s="12" t="inlineStr">
        <is>
          <t>Stormwater pump station (2 x 100% submersible pumps)</t>
        </is>
      </c>
      <c r="I3080" s="12" t="inlineStr">
        <is>
          <t>LV 600 V</t>
        </is>
      </c>
      <c r="J3080" s="12" t="inlineStr">
        <is>
          <t>Type TC-ER 600 V 3/C Cu XHHW-2 + ground, PVC jacket</t>
        </is>
      </c>
      <c r="K3080" s="12" t="inlineStr">
        <is>
          <t>LV|3/C+G|500</t>
        </is>
      </c>
      <c r="L3080" s="12" t="inlineStr">
        <is>
          <t>3/C+G</t>
        </is>
      </c>
      <c r="M3080" s="12" t="inlineStr">
        <is>
          <t>500 kcmil</t>
        </is>
      </c>
      <c r="N3080" s="12" t="n">
        <v>1</v>
      </c>
      <c r="O3080" s="12" t="n">
        <v>1</v>
      </c>
      <c r="P3080" s="12" t="n">
        <v>480</v>
      </c>
      <c r="Q3080" s="12" t="n">
        <v>75</v>
      </c>
      <c r="R3080" s="12" t="n">
        <v>106.1</v>
      </c>
      <c r="S3080" s="12" t="inlineStr">
        <is>
          <t>Duct bank</t>
        </is>
      </c>
      <c r="T3080" s="15" t="n">
        <v>1832</v>
      </c>
      <c r="U3080" s="15" t="n">
        <v>145</v>
      </c>
      <c r="V3080" s="15">
        <f>ROUNDUP((T3080+U3080+2*'Read Me'!$B$13)*(1+'Read Me'!$B$12),-1)</f>
        <v/>
      </c>
      <c r="W3080" s="15">
        <f>V3080*N3080*O3080</f>
        <v/>
      </c>
      <c r="X3080" s="12">
        <f>IF(LEFT(I3080,2)="MV",2*N3080*IF(L3080="1/C",O3080,1),0)</f>
        <v/>
      </c>
      <c r="Y3080" s="12">
        <f>IF(OR(LEFT(K3080,4)="LVAX",LEFT(K3080,6)="MV15AX",LEFT(K3080,4)="CTAX",LEFT(K3080,2)="W|"),2*N3080*O3080,0)</f>
        <v/>
      </c>
      <c r="Z3080" s="12" t="inlineStr">
        <is>
          <t>VD 2.1 %</t>
        </is>
      </c>
      <c r="AA3080" s="12">
        <f>N3080*O3080</f>
        <v/>
      </c>
    </row>
    <row r="3081">
      <c r="A3081" s="12" t="inlineStr">
        <is>
          <t>F-P-0012</t>
        </is>
      </c>
      <c r="B3081" s="12" t="inlineStr">
        <is>
          <t>F</t>
        </is>
      </c>
      <c r="C3081" s="12" t="inlineStr">
        <is>
          <t>Controls / service</t>
        </is>
      </c>
      <c r="D3081" s="12" t="inlineStr">
        <is>
          <t>Motor 2 of 2, 75 kW</t>
        </is>
      </c>
      <c r="E3081" s="12" t="inlineStr">
        <is>
          <t>MCC-C2</t>
        </is>
      </c>
      <c r="F3081" s="12" t="inlineStr">
        <is>
          <t>R1 MCC-C2</t>
        </is>
      </c>
      <c r="G3081" s="12" t="inlineStr"/>
      <c r="H3081" s="12" t="inlineStr">
        <is>
          <t>Stormwater pump station (2 x 100% submersible pumps)</t>
        </is>
      </c>
      <c r="I3081" s="12" t="inlineStr">
        <is>
          <t>LV 600 V</t>
        </is>
      </c>
      <c r="J3081" s="12" t="inlineStr">
        <is>
          <t>Type TC-ER 600 V 3/C Cu XHHW-2 + ground, PVC jacket</t>
        </is>
      </c>
      <c r="K3081" s="12" t="inlineStr">
        <is>
          <t>LV|3/C+G|500</t>
        </is>
      </c>
      <c r="L3081" s="12" t="inlineStr">
        <is>
          <t>3/C+G</t>
        </is>
      </c>
      <c r="M3081" s="12" t="inlineStr">
        <is>
          <t>500 kcmil</t>
        </is>
      </c>
      <c r="N3081" s="12" t="n">
        <v>1</v>
      </c>
      <c r="O3081" s="12" t="n">
        <v>1</v>
      </c>
      <c r="P3081" s="12" t="n">
        <v>480</v>
      </c>
      <c r="Q3081" s="12" t="n">
        <v>75</v>
      </c>
      <c r="R3081" s="12" t="n">
        <v>106.1</v>
      </c>
      <c r="S3081" s="12" t="inlineStr">
        <is>
          <t>Duct bank</t>
        </is>
      </c>
      <c r="T3081" s="15" t="n">
        <v>1832</v>
      </c>
      <c r="U3081" s="15" t="n">
        <v>145</v>
      </c>
      <c r="V3081" s="15">
        <f>ROUNDUP((T3081+U3081+2*'Read Me'!$B$13)*(1+'Read Me'!$B$12),-1)</f>
        <v/>
      </c>
      <c r="W3081" s="15">
        <f>V3081*N3081*O3081</f>
        <v/>
      </c>
      <c r="X3081" s="12">
        <f>IF(LEFT(I3081,2)="MV",2*N3081*IF(L3081="1/C",O3081,1),0)</f>
        <v/>
      </c>
      <c r="Y3081" s="12">
        <f>IF(OR(LEFT(K3081,4)="LVAX",LEFT(K3081,6)="MV15AX",LEFT(K3081,4)="CTAX",LEFT(K3081,2)="W|"),2*N3081*O3081,0)</f>
        <v/>
      </c>
      <c r="Z3081" s="12" t="inlineStr">
        <is>
          <t>VD 2.1 %</t>
        </is>
      </c>
      <c r="AA3081" s="12">
        <f>N3081*O3081</f>
        <v/>
      </c>
    </row>
    <row r="3082">
      <c r="A3082" s="12" t="inlineStr">
        <is>
          <t>F-P-0013</t>
        </is>
      </c>
      <c r="B3082" s="12" t="inlineStr">
        <is>
          <t>F</t>
        </is>
      </c>
      <c r="C3082" s="12" t="inlineStr">
        <is>
          <t>Controls / service</t>
        </is>
      </c>
      <c r="D3082" s="12" t="inlineStr">
        <is>
          <t>LV panel / distribution feeder</t>
        </is>
      </c>
      <c r="E3082" s="12" t="inlineStr">
        <is>
          <t>MCC-C2</t>
        </is>
      </c>
      <c r="F3082" s="12" t="inlineStr">
        <is>
          <t>R1 MCC-C2</t>
        </is>
      </c>
      <c r="G3082" s="12" t="inlineStr"/>
      <c r="H3082" s="12" t="inlineStr">
        <is>
          <t>Warehouse</t>
        </is>
      </c>
      <c r="I3082" s="12" t="inlineStr">
        <is>
          <t>LV 600 V</t>
        </is>
      </c>
      <c r="J3082" s="12" t="inlineStr">
        <is>
          <t>Type TC-ER 600 V 3/C Cu XHHW-2 + ground, PVC jacket</t>
        </is>
      </c>
      <c r="K3082" s="12" t="inlineStr">
        <is>
          <t>LV|3/C+G|500</t>
        </is>
      </c>
      <c r="L3082" s="12" t="inlineStr">
        <is>
          <t>3/C+G</t>
        </is>
      </c>
      <c r="M3082" s="12" t="inlineStr">
        <is>
          <t>500 kcmil</t>
        </is>
      </c>
      <c r="N3082" s="12" t="n">
        <v>1</v>
      </c>
      <c r="O3082" s="12" t="n">
        <v>1</v>
      </c>
      <c r="P3082" s="12" t="n">
        <v>480</v>
      </c>
      <c r="Q3082" s="12" t="n">
        <v>204</v>
      </c>
      <c r="R3082" s="12" t="n">
        <v>288.7</v>
      </c>
      <c r="S3082" s="12" t="inlineStr">
        <is>
          <t>Tray</t>
        </is>
      </c>
      <c r="T3082" s="15" t="n">
        <v>734</v>
      </c>
      <c r="U3082" s="15" t="n">
        <v>204</v>
      </c>
      <c r="V3082" s="15">
        <f>ROUNDUP((T3082+U3082+2*'Read Me'!$B$13)*(1+'Read Me'!$B$12),-1)</f>
        <v/>
      </c>
      <c r="W3082" s="15">
        <f>V3082*N3082*O3082</f>
        <v/>
      </c>
      <c r="X3082" s="12">
        <f>IF(LEFT(I3082,2)="MV",2*N3082*IF(L3082="1/C",O3082,1),0)</f>
        <v/>
      </c>
      <c r="Y3082" s="12">
        <f>IF(OR(LEFT(K3082,4)="LVAX",LEFT(K3082,6)="MV15AX",LEFT(K3082,4)="CTAX",LEFT(K3082,2)="W|"),2*N3082*O3082,0)</f>
        <v/>
      </c>
      <c r="Z3082" s="12" t="inlineStr">
        <is>
          <t>VD 2.8 %</t>
        </is>
      </c>
      <c r="AA3082" s="12">
        <f>N3082*O3082</f>
        <v/>
      </c>
    </row>
    <row r="3083">
      <c r="A3083" s="12" t="inlineStr">
        <is>
          <t>G-L-0001</t>
        </is>
      </c>
      <c r="B3083" s="12" t="inlineStr">
        <is>
          <t>G</t>
        </is>
      </c>
      <c r="C3083" s="12" t="inlineStr">
        <is>
          <t>Carbon capture</t>
        </is>
      </c>
      <c r="D3083" s="12" t="inlineStr">
        <is>
          <t>Lighting, receptacles and small power branch circuits (allowance)</t>
        </is>
      </c>
      <c r="E3083" s="12" t="inlineStr"/>
      <c r="F3083" s="12" t="inlineStr">
        <is>
          <t>CCS F&amp;G / control</t>
        </is>
      </c>
      <c r="G3083" s="12" t="inlineStr"/>
      <c r="H3083" s="12" t="inlineStr">
        <is>
          <t>CCS F&amp;G / control</t>
        </is>
      </c>
      <c r="I3083" s="12" t="inlineStr">
        <is>
          <t>Building wire</t>
        </is>
      </c>
      <c r="J3083" s="12" t="inlineStr">
        <is>
          <t>SIMpull THHN/THWN-2 600 V 1/C Cu (lighting, receptacles, small power)</t>
        </is>
      </c>
      <c r="K3083" s="12" t="inlineStr">
        <is>
          <t>THHN|1/C|12</t>
        </is>
      </c>
      <c r="L3083" s="12" t="inlineStr">
        <is>
          <t>1/C</t>
        </is>
      </c>
      <c r="M3083" s="12" t="inlineStr">
        <is>
          <t>12</t>
        </is>
      </c>
      <c r="N3083" s="12" t="n">
        <v>1</v>
      </c>
      <c r="O3083" s="12" t="n">
        <v>1</v>
      </c>
      <c r="P3083" s="12" t="n">
        <v>277</v>
      </c>
      <c r="Q3083" s="12" t="n"/>
      <c r="R3083" s="12" t="n"/>
      <c r="S3083" s="12" t="inlineStr">
        <is>
          <t>Conduit</t>
        </is>
      </c>
      <c r="T3083" s="15" t="n">
        <v>5400</v>
      </c>
      <c r="U3083" s="15" t="n">
        <v>0</v>
      </c>
      <c r="V3083" s="15">
        <f>ROUNDUP((T3083+U3083+2*'Read Me'!$B$13)*(1+'Read Me'!$B$12),-1)</f>
        <v/>
      </c>
      <c r="W3083" s="15">
        <f>V3083*N3083*O3083</f>
        <v/>
      </c>
      <c r="X3083" s="12">
        <f>IF(LEFT(I3083,2)="MV",2*N3083*IF(L3083="1/C",O3083,1),0)</f>
        <v/>
      </c>
      <c r="Y3083" s="12">
        <f>IF(OR(LEFT(K3083,4)="LVAX",LEFT(K3083,6)="MV15AX",LEFT(K3083,4)="CTAX",LEFT(K3083,2)="W|"),2*N3083*O3083,0)</f>
        <v/>
      </c>
      <c r="Z3083" s="12" t="inlineStr">
        <is>
          <t>allowance: 1.6 ft of conductor per ft2 of floor</t>
        </is>
      </c>
      <c r="AA3083" s="12">
        <f>N3083*O3083</f>
        <v/>
      </c>
    </row>
    <row r="3084">
      <c r="A3084" s="12" t="inlineStr">
        <is>
          <t>G-L-0002</t>
        </is>
      </c>
      <c r="B3084" s="12" t="inlineStr">
        <is>
          <t>G</t>
        </is>
      </c>
      <c r="C3084" s="12" t="inlineStr">
        <is>
          <t>Carbon capture</t>
        </is>
      </c>
      <c r="D3084" s="12" t="inlineStr">
        <is>
          <t>Lighting, receptacles and small power branch circuits (allowance)</t>
        </is>
      </c>
      <c r="E3084" s="12" t="inlineStr"/>
      <c r="F3084" s="12" t="inlineStr">
        <is>
          <t>CCS MV switchgear building (VFDs)</t>
        </is>
      </c>
      <c r="G3084" s="12" t="inlineStr"/>
      <c r="H3084" s="12" t="inlineStr">
        <is>
          <t>CCS MV switchgear building (VFDs)</t>
        </is>
      </c>
      <c r="I3084" s="12" t="inlineStr">
        <is>
          <t>Building wire</t>
        </is>
      </c>
      <c r="J3084" s="12" t="inlineStr">
        <is>
          <t>SIMpull THHN/THWN-2 600 V 1/C Cu (lighting, receptacles, small power)</t>
        </is>
      </c>
      <c r="K3084" s="12" t="inlineStr">
        <is>
          <t>THHN|1/C|12</t>
        </is>
      </c>
      <c r="L3084" s="12" t="inlineStr">
        <is>
          <t>1/C</t>
        </is>
      </c>
      <c r="M3084" s="12" t="inlineStr">
        <is>
          <t>12</t>
        </is>
      </c>
      <c r="N3084" s="12" t="n">
        <v>1</v>
      </c>
      <c r="O3084" s="12" t="n">
        <v>1</v>
      </c>
      <c r="P3084" s="12" t="n">
        <v>277</v>
      </c>
      <c r="Q3084" s="12" t="n"/>
      <c r="R3084" s="12" t="n"/>
      <c r="S3084" s="12" t="inlineStr">
        <is>
          <t>Conduit</t>
        </is>
      </c>
      <c r="T3084" s="15" t="n">
        <v>14560</v>
      </c>
      <c r="U3084" s="15" t="n">
        <v>0</v>
      </c>
      <c r="V3084" s="15">
        <f>ROUNDUP((T3084+U3084+2*'Read Me'!$B$13)*(1+'Read Me'!$B$12),-1)</f>
        <v/>
      </c>
      <c r="W3084" s="15">
        <f>V3084*N3084*O3084</f>
        <v/>
      </c>
      <c r="X3084" s="12">
        <f>IF(LEFT(I3084,2)="MV",2*N3084*IF(L3084="1/C",O3084,1),0)</f>
        <v/>
      </c>
      <c r="Y3084" s="12">
        <f>IF(OR(LEFT(K3084,4)="LVAX",LEFT(K3084,6)="MV15AX",LEFT(K3084,4)="CTAX",LEFT(K3084,2)="W|"),2*N3084*O3084,0)</f>
        <v/>
      </c>
      <c r="Z3084" s="12" t="inlineStr">
        <is>
          <t>allowance: 1.6 ft of conductor per ft2 of floor</t>
        </is>
      </c>
      <c r="AA3084" s="12">
        <f>N3084*O3084</f>
        <v/>
      </c>
    </row>
    <row r="3085">
      <c r="A3085" s="12" t="inlineStr">
        <is>
          <t>G-L-0003</t>
        </is>
      </c>
      <c r="B3085" s="12" t="inlineStr">
        <is>
          <t>G</t>
        </is>
      </c>
      <c r="C3085" s="12" t="inlineStr">
        <is>
          <t>Carbon capture</t>
        </is>
      </c>
      <c r="D3085" s="12" t="inlineStr">
        <is>
          <t>Lighting, receptacles and small power branch circuits (allowance)</t>
        </is>
      </c>
      <c r="E3085" s="12" t="inlineStr"/>
      <c r="F3085" s="12" t="inlineStr">
        <is>
          <t>CT MCC / VFD e-house</t>
        </is>
      </c>
      <c r="G3085" s="12" t="inlineStr"/>
      <c r="H3085" s="12" t="inlineStr">
        <is>
          <t>CT MCC / VFD e-house</t>
        </is>
      </c>
      <c r="I3085" s="12" t="inlineStr">
        <is>
          <t>Building wire</t>
        </is>
      </c>
      <c r="J3085" s="12" t="inlineStr">
        <is>
          <t>SIMpull THHN/THWN-2 600 V 1/C Cu (lighting, receptacles, small power)</t>
        </is>
      </c>
      <c r="K3085" s="12" t="inlineStr">
        <is>
          <t>THHN|1/C|12</t>
        </is>
      </c>
      <c r="L3085" s="12" t="inlineStr">
        <is>
          <t>1/C</t>
        </is>
      </c>
      <c r="M3085" s="12" t="inlineStr">
        <is>
          <t>12</t>
        </is>
      </c>
      <c r="N3085" s="12" t="n">
        <v>1</v>
      </c>
      <c r="O3085" s="12" t="n">
        <v>1</v>
      </c>
      <c r="P3085" s="12" t="n">
        <v>277</v>
      </c>
      <c r="Q3085" s="12" t="n"/>
      <c r="R3085" s="12" t="n"/>
      <c r="S3085" s="12" t="inlineStr">
        <is>
          <t>Conduit</t>
        </is>
      </c>
      <c r="T3085" s="15" t="n">
        <v>7920</v>
      </c>
      <c r="U3085" s="15" t="n">
        <v>0</v>
      </c>
      <c r="V3085" s="15">
        <f>ROUNDUP((T3085+U3085+2*'Read Me'!$B$13)*(1+'Read Me'!$B$12),-1)</f>
        <v/>
      </c>
      <c r="W3085" s="15">
        <f>V3085*N3085*O3085</f>
        <v/>
      </c>
      <c r="X3085" s="12">
        <f>IF(LEFT(I3085,2)="MV",2*N3085*IF(L3085="1/C",O3085,1),0)</f>
        <v/>
      </c>
      <c r="Y3085" s="12">
        <f>IF(OR(LEFT(K3085,4)="LVAX",LEFT(K3085,6)="MV15AX",LEFT(K3085,4)="CTAX",LEFT(K3085,2)="W|"),2*N3085*O3085,0)</f>
        <v/>
      </c>
      <c r="Z3085" s="12" t="inlineStr">
        <is>
          <t>allowance: 1.6 ft of conductor per ft2 of floor</t>
        </is>
      </c>
      <c r="AA3085" s="12">
        <f>N3085*O3085</f>
        <v/>
      </c>
    </row>
    <row r="3086">
      <c r="A3086" s="12" t="inlineStr">
        <is>
          <t>G-C-0001</t>
        </is>
      </c>
      <c r="B3086" s="12" t="inlineStr">
        <is>
          <t>G</t>
        </is>
      </c>
      <c r="C3086" s="12" t="inlineStr">
        <is>
          <t>Carbon capture</t>
        </is>
      </c>
      <c r="D3086" s="12" t="inlineStr">
        <is>
          <t>MOV 1: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G-C-0002</t>
        </is>
      </c>
      <c r="B3087" s="12" t="inlineStr">
        <is>
          <t>G</t>
        </is>
      </c>
      <c r="C3087" s="12" t="inlineStr">
        <is>
          <t>Carbon capture</t>
        </is>
      </c>
      <c r="D3087" s="12" t="inlineStr">
        <is>
          <t>MOV 2: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G-C-0003</t>
        </is>
      </c>
      <c r="B3088" s="12" t="inlineStr">
        <is>
          <t>G</t>
        </is>
      </c>
      <c r="C3088" s="12" t="inlineStr">
        <is>
          <t>Carbon capture</t>
        </is>
      </c>
      <c r="D3088" s="12" t="inlineStr">
        <is>
          <t>MOV 3: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G-C-0004</t>
        </is>
      </c>
      <c r="B3089" s="12" t="inlineStr">
        <is>
          <t>G</t>
        </is>
      </c>
      <c r="C3089" s="12" t="inlineStr">
        <is>
          <t>Carbon capture</t>
        </is>
      </c>
      <c r="D3089" s="12" t="inlineStr">
        <is>
          <t>MOV 4: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G-C-0005</t>
        </is>
      </c>
      <c r="B3090" s="12" t="inlineStr">
        <is>
          <t>G</t>
        </is>
      </c>
      <c r="C3090" s="12" t="inlineStr">
        <is>
          <t>Carbon capture</t>
        </is>
      </c>
      <c r="D3090" s="12" t="inlineStr">
        <is>
          <t>MOV 5: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G-C-0006</t>
        </is>
      </c>
      <c r="B3091" s="12" t="inlineStr">
        <is>
          <t>G</t>
        </is>
      </c>
      <c r="C3091" s="12" t="inlineStr">
        <is>
          <t>Carbon capture</t>
        </is>
      </c>
      <c r="D3091" s="12" t="inlineStr">
        <is>
          <t>MOV 6: control</t>
        </is>
      </c>
      <c r="E3091" s="12" t="inlineStr"/>
      <c r="F3091" s="12" t="inlineStr">
        <is>
          <t>CCS MV switchgear building (VFDs)</t>
        </is>
      </c>
      <c r="G3091" s="12" t="inlineStr">
        <is>
          <t>ABS-A</t>
        </is>
      </c>
      <c r="H3091" s="12" t="inlineStr">
        <is>
          <t>Absorber A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5" t="n">
        <v>570</v>
      </c>
      <c r="U3091" s="15" t="n">
        <v>80</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G-C-0007</t>
        </is>
      </c>
      <c r="B3092" s="12" t="inlineStr">
        <is>
          <t>G</t>
        </is>
      </c>
      <c r="C3092" s="12" t="inlineStr">
        <is>
          <t>Carbon capture</t>
        </is>
      </c>
      <c r="D3092" s="12" t="inlineStr">
        <is>
          <t>MOV 7: control</t>
        </is>
      </c>
      <c r="E3092" s="12" t="inlineStr"/>
      <c r="F3092" s="12" t="inlineStr">
        <is>
          <t>CCS MV switchgear building (VFDs)</t>
        </is>
      </c>
      <c r="G3092" s="12" t="inlineStr">
        <is>
          <t>ABS-A</t>
        </is>
      </c>
      <c r="H3092" s="12" t="inlineStr">
        <is>
          <t>Absorber A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5" t="n">
        <v>570</v>
      </c>
      <c r="U3092" s="15" t="n">
        <v>80</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G-C-0008</t>
        </is>
      </c>
      <c r="B3093" s="12" t="inlineStr">
        <is>
          <t>G</t>
        </is>
      </c>
      <c r="C3093" s="12" t="inlineStr">
        <is>
          <t>Carbon capture</t>
        </is>
      </c>
      <c r="D3093" s="12" t="inlineStr">
        <is>
          <t>MOV 8: control</t>
        </is>
      </c>
      <c r="E3093" s="12" t="inlineStr"/>
      <c r="F3093" s="12" t="inlineStr">
        <is>
          <t>CCS MV switchgear building (VFDs)</t>
        </is>
      </c>
      <c r="G3093" s="12" t="inlineStr">
        <is>
          <t>ABS-A</t>
        </is>
      </c>
      <c r="H3093" s="12" t="inlineStr">
        <is>
          <t>Absorber A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570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G-C-0009</t>
        </is>
      </c>
      <c r="B3094" s="12" t="inlineStr">
        <is>
          <t>G</t>
        </is>
      </c>
      <c r="C3094" s="12" t="inlineStr">
        <is>
          <t>Carbon capture</t>
        </is>
      </c>
      <c r="D3094" s="12" t="inlineStr">
        <is>
          <t>MOV 9: control</t>
        </is>
      </c>
      <c r="E3094" s="12" t="inlineStr"/>
      <c r="F3094" s="12" t="inlineStr">
        <is>
          <t>CCS MV switchgear building (VFDs)</t>
        </is>
      </c>
      <c r="G3094" s="12" t="inlineStr">
        <is>
          <t>ABS-A</t>
        </is>
      </c>
      <c r="H3094" s="12" t="inlineStr">
        <is>
          <t>Absorber A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570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G-C-0010</t>
        </is>
      </c>
      <c r="B3095" s="12" t="inlineStr">
        <is>
          <t>G</t>
        </is>
      </c>
      <c r="C3095" s="12" t="inlineStr">
        <is>
          <t>Carbon capture</t>
        </is>
      </c>
      <c r="D3095" s="12" t="inlineStr">
        <is>
          <t>MOV 10: control</t>
        </is>
      </c>
      <c r="E3095" s="12" t="inlineStr"/>
      <c r="F3095" s="12" t="inlineStr">
        <is>
          <t>CCS MV switchgear building (VFDs)</t>
        </is>
      </c>
      <c r="G3095" s="12" t="inlineStr">
        <is>
          <t>ABS-A</t>
        </is>
      </c>
      <c r="H3095" s="12" t="inlineStr">
        <is>
          <t>Absorber A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570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G-C-0011</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Absorber A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5" t="n">
        <v>552</v>
      </c>
      <c r="U3096" s="15" t="n">
        <v>81</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G-C-0012</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Absorber A intercooler (pumps + plate exchanger)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5" t="n">
        <v>552</v>
      </c>
      <c r="U3097" s="15" t="n">
        <v>81</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G-C-0013</t>
        </is>
      </c>
      <c r="B3098" s="12" t="inlineStr">
        <is>
          <t>G</t>
        </is>
      </c>
      <c r="C3098" s="12" t="inlineStr">
        <is>
          <t>Carbon capture</t>
        </is>
      </c>
      <c r="D3098" s="12" t="inlineStr">
        <is>
          <t>MOV 1: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G-C-0014</t>
        </is>
      </c>
      <c r="B3099" s="12" t="inlineStr">
        <is>
          <t>G</t>
        </is>
      </c>
      <c r="C3099" s="12" t="inlineStr">
        <is>
          <t>Carbon capture</t>
        </is>
      </c>
      <c r="D3099" s="12" t="inlineStr">
        <is>
          <t>MOV 2: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G-C-0015</t>
        </is>
      </c>
      <c r="B3100" s="12" t="inlineStr">
        <is>
          <t>G</t>
        </is>
      </c>
      <c r="C3100" s="12" t="inlineStr">
        <is>
          <t>Carbon capture</t>
        </is>
      </c>
      <c r="D3100" s="12" t="inlineStr">
        <is>
          <t>MOV 3: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G-C-0016</t>
        </is>
      </c>
      <c r="B3101" s="12" t="inlineStr">
        <is>
          <t>G</t>
        </is>
      </c>
      <c r="C3101" s="12" t="inlineStr">
        <is>
          <t>Carbon capture</t>
        </is>
      </c>
      <c r="D3101" s="12" t="inlineStr">
        <is>
          <t>MOV 4: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G-C-0017</t>
        </is>
      </c>
      <c r="B3102" s="12" t="inlineStr">
        <is>
          <t>G</t>
        </is>
      </c>
      <c r="C3102" s="12" t="inlineStr">
        <is>
          <t>Carbon capture</t>
        </is>
      </c>
      <c r="D3102" s="12" t="inlineStr">
        <is>
          <t>MOV 5: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G-C-0018</t>
        </is>
      </c>
      <c r="B3103" s="12" t="inlineStr">
        <is>
          <t>G</t>
        </is>
      </c>
      <c r="C3103" s="12" t="inlineStr">
        <is>
          <t>Carbon capture</t>
        </is>
      </c>
      <c r="D3103" s="12" t="inlineStr">
        <is>
          <t>MOV 6: control</t>
        </is>
      </c>
      <c r="E3103" s="12" t="inlineStr"/>
      <c r="F3103" s="12" t="inlineStr">
        <is>
          <t>CCS MV switchgear building (VFDs)</t>
        </is>
      </c>
      <c r="G3103" s="12" t="inlineStr">
        <is>
          <t>ABS-B</t>
        </is>
      </c>
      <c r="H3103" s="12" t="inlineStr">
        <is>
          <t>Absorber B (62 ft dia x 262 ft, stack to 313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Tray</t>
        </is>
      </c>
      <c r="T3103" s="15" t="n">
        <v>410</v>
      </c>
      <c r="U3103" s="15" t="n">
        <v>80</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G-C-0019</t>
        </is>
      </c>
      <c r="B3104" s="12" t="inlineStr">
        <is>
          <t>G</t>
        </is>
      </c>
      <c r="C3104" s="12" t="inlineStr">
        <is>
          <t>Carbon capture</t>
        </is>
      </c>
      <c r="D3104" s="12" t="inlineStr">
        <is>
          <t>MOV 7: control</t>
        </is>
      </c>
      <c r="E3104" s="12" t="inlineStr"/>
      <c r="F3104" s="12" t="inlineStr">
        <is>
          <t>CCS MV switchgear building (VFDs)</t>
        </is>
      </c>
      <c r="G3104" s="12" t="inlineStr">
        <is>
          <t>ABS-B</t>
        </is>
      </c>
      <c r="H3104" s="12" t="inlineStr">
        <is>
          <t>Absorber B (62 ft dia x 262 ft, stack to 313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Tray</t>
        </is>
      </c>
      <c r="T3104" s="15" t="n">
        <v>410</v>
      </c>
      <c r="U3104" s="15" t="n">
        <v>80</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G-C-0020</t>
        </is>
      </c>
      <c r="B3105" s="12" t="inlineStr">
        <is>
          <t>G</t>
        </is>
      </c>
      <c r="C3105" s="12" t="inlineStr">
        <is>
          <t>Carbon capture</t>
        </is>
      </c>
      <c r="D3105" s="12" t="inlineStr">
        <is>
          <t>MOV 8: control</t>
        </is>
      </c>
      <c r="E3105" s="12" t="inlineStr"/>
      <c r="F3105" s="12" t="inlineStr">
        <is>
          <t>CCS MV switchgear building (VFDs)</t>
        </is>
      </c>
      <c r="G3105" s="12" t="inlineStr">
        <is>
          <t>ABS-B</t>
        </is>
      </c>
      <c r="H3105" s="12" t="inlineStr">
        <is>
          <t>Absorber B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410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G-C-0021</t>
        </is>
      </c>
      <c r="B3106" s="12" t="inlineStr">
        <is>
          <t>G</t>
        </is>
      </c>
      <c r="C3106" s="12" t="inlineStr">
        <is>
          <t>Carbon capture</t>
        </is>
      </c>
      <c r="D3106" s="12" t="inlineStr">
        <is>
          <t>MOV 9: control</t>
        </is>
      </c>
      <c r="E3106" s="12" t="inlineStr"/>
      <c r="F3106" s="12" t="inlineStr">
        <is>
          <t>CCS MV switchgear building (VFDs)</t>
        </is>
      </c>
      <c r="G3106" s="12" t="inlineStr">
        <is>
          <t>ABS-B</t>
        </is>
      </c>
      <c r="H3106" s="12" t="inlineStr">
        <is>
          <t>Absorber B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410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G-C-0022</t>
        </is>
      </c>
      <c r="B3107" s="12" t="inlineStr">
        <is>
          <t>G</t>
        </is>
      </c>
      <c r="C3107" s="12" t="inlineStr">
        <is>
          <t>Carbon capture</t>
        </is>
      </c>
      <c r="D3107" s="12" t="inlineStr">
        <is>
          <t>MOV 10: control</t>
        </is>
      </c>
      <c r="E3107" s="12" t="inlineStr"/>
      <c r="F3107" s="12" t="inlineStr">
        <is>
          <t>CCS MV switchgear building (VFDs)</t>
        </is>
      </c>
      <c r="G3107" s="12" t="inlineStr">
        <is>
          <t>ABS-B</t>
        </is>
      </c>
      <c r="H3107" s="12" t="inlineStr">
        <is>
          <t>Absorber B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410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G-C-0023</t>
        </is>
      </c>
      <c r="B3108" s="12" t="inlineStr">
        <is>
          <t>G</t>
        </is>
      </c>
      <c r="C3108" s="12" t="inlineStr">
        <is>
          <t>Carbon capture</t>
        </is>
      </c>
      <c r="D3108" s="12" t="inlineStr">
        <is>
          <t>Motor 1 of 2: control / local station</t>
        </is>
      </c>
      <c r="E3108" s="12" t="inlineStr"/>
      <c r="F3108" s="12" t="inlineStr">
        <is>
          <t>CCS MV switchgear building (VFDs)</t>
        </is>
      </c>
      <c r="G3108" s="12" t="inlineStr"/>
      <c r="H3108" s="12" t="inlineStr">
        <is>
          <t>Absorber B intercooler (pumps + plate exchanger)</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5" t="n">
        <v>392</v>
      </c>
      <c r="U3108" s="15" t="n">
        <v>81</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G-C-0024</t>
        </is>
      </c>
      <c r="B3109" s="12" t="inlineStr">
        <is>
          <t>G</t>
        </is>
      </c>
      <c r="C3109" s="12" t="inlineStr">
        <is>
          <t>Carbon capture</t>
        </is>
      </c>
      <c r="D3109" s="12" t="inlineStr">
        <is>
          <t>Motor 2 of 2: control / local station</t>
        </is>
      </c>
      <c r="E3109" s="12" t="inlineStr"/>
      <c r="F3109" s="12" t="inlineStr">
        <is>
          <t>CCS MV switchgear building (VFDs)</t>
        </is>
      </c>
      <c r="G3109" s="12" t="inlineStr"/>
      <c r="H3109" s="12" t="inlineStr">
        <is>
          <t>Absorber B intercooler (pumps + plate exchanger)</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5" t="n">
        <v>392</v>
      </c>
      <c r="U3109" s="15" t="n">
        <v>81</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G-C-0025</t>
        </is>
      </c>
      <c r="B3110" s="12" t="inlineStr">
        <is>
          <t>G</t>
        </is>
      </c>
      <c r="C3110" s="12" t="inlineStr">
        <is>
          <t>Carbon capture</t>
        </is>
      </c>
      <c r="D3110" s="12" t="inlineStr">
        <is>
          <t>MOV 1: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G-C-0026</t>
        </is>
      </c>
      <c r="B3111" s="12" t="inlineStr">
        <is>
          <t>G</t>
        </is>
      </c>
      <c r="C3111" s="12" t="inlineStr">
        <is>
          <t>Carbon capture</t>
        </is>
      </c>
      <c r="D3111" s="12" t="inlineStr">
        <is>
          <t>MOV 2: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G-C-0027</t>
        </is>
      </c>
      <c r="B3112" s="12" t="inlineStr">
        <is>
          <t>G</t>
        </is>
      </c>
      <c r="C3112" s="12" t="inlineStr">
        <is>
          <t>Carbon capture</t>
        </is>
      </c>
      <c r="D3112" s="12" t="inlineStr">
        <is>
          <t>MOV 3: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G-C-0028</t>
        </is>
      </c>
      <c r="B3113" s="12" t="inlineStr">
        <is>
          <t>G</t>
        </is>
      </c>
      <c r="C3113" s="12" t="inlineStr">
        <is>
          <t>Carbon capture</t>
        </is>
      </c>
      <c r="D3113" s="12" t="inlineStr">
        <is>
          <t>MOV 4: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G-C-0029</t>
        </is>
      </c>
      <c r="B3114" s="12" t="inlineStr">
        <is>
          <t>G</t>
        </is>
      </c>
      <c r="C3114" s="12" t="inlineStr">
        <is>
          <t>Carbon capture</t>
        </is>
      </c>
      <c r="D3114" s="12" t="inlineStr">
        <is>
          <t>MOV 5: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G-C-0030</t>
        </is>
      </c>
      <c r="B3115" s="12" t="inlineStr">
        <is>
          <t>G</t>
        </is>
      </c>
      <c r="C3115" s="12" t="inlineStr">
        <is>
          <t>Carbon capture</t>
        </is>
      </c>
      <c r="D3115" s="12" t="inlineStr">
        <is>
          <t>MOV 6: control</t>
        </is>
      </c>
      <c r="E3115" s="12" t="inlineStr"/>
      <c r="F3115" s="12" t="inlineStr">
        <is>
          <t>CCS MV switchgear building (VFDs)</t>
        </is>
      </c>
      <c r="G3115" s="12" t="inlineStr">
        <is>
          <t>ABS-C</t>
        </is>
      </c>
      <c r="H3115" s="12" t="inlineStr">
        <is>
          <t>Absorber C (62 ft dia x 262 ft, stack to 313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Tray</t>
        </is>
      </c>
      <c r="T3115" s="15" t="n">
        <v>250</v>
      </c>
      <c r="U3115" s="15" t="n">
        <v>80</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G-C-0031</t>
        </is>
      </c>
      <c r="B3116" s="12" t="inlineStr">
        <is>
          <t>G</t>
        </is>
      </c>
      <c r="C3116" s="12" t="inlineStr">
        <is>
          <t>Carbon capture</t>
        </is>
      </c>
      <c r="D3116" s="12" t="inlineStr">
        <is>
          <t>MOV 7: control</t>
        </is>
      </c>
      <c r="E3116" s="12" t="inlineStr"/>
      <c r="F3116" s="12" t="inlineStr">
        <is>
          <t>CCS MV switchgear building (VFDs)</t>
        </is>
      </c>
      <c r="G3116" s="12" t="inlineStr">
        <is>
          <t>ABS-C</t>
        </is>
      </c>
      <c r="H3116" s="12" t="inlineStr">
        <is>
          <t>Absorber C (62 ft dia x 262 ft, stack to 313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Tray</t>
        </is>
      </c>
      <c r="T3116" s="15" t="n">
        <v>250</v>
      </c>
      <c r="U3116" s="15" t="n">
        <v>80</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G-C-0032</t>
        </is>
      </c>
      <c r="B3117" s="12" t="inlineStr">
        <is>
          <t>G</t>
        </is>
      </c>
      <c r="C3117" s="12" t="inlineStr">
        <is>
          <t>Carbon capture</t>
        </is>
      </c>
      <c r="D3117" s="12" t="inlineStr">
        <is>
          <t>MOV 8: control</t>
        </is>
      </c>
      <c r="E3117" s="12" t="inlineStr"/>
      <c r="F3117" s="12" t="inlineStr">
        <is>
          <t>CCS MV switchgear building (VFDs)</t>
        </is>
      </c>
      <c r="G3117" s="12" t="inlineStr">
        <is>
          <t>ABS-C</t>
        </is>
      </c>
      <c r="H3117" s="12" t="inlineStr">
        <is>
          <t>Absorber C (62 ft dia x 262 ft, stack to 313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Tray</t>
        </is>
      </c>
      <c r="T3117" s="15" t="n">
        <v>250</v>
      </c>
      <c r="U3117" s="15" t="n">
        <v>80</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G-C-0033</t>
        </is>
      </c>
      <c r="B3118" s="12" t="inlineStr">
        <is>
          <t>G</t>
        </is>
      </c>
      <c r="C3118" s="12" t="inlineStr">
        <is>
          <t>Carbon capture</t>
        </is>
      </c>
      <c r="D3118" s="12" t="inlineStr">
        <is>
          <t>MOV 9: control</t>
        </is>
      </c>
      <c r="E3118" s="12" t="inlineStr"/>
      <c r="F3118" s="12" t="inlineStr">
        <is>
          <t>CCS MV switchgear building (VFDs)</t>
        </is>
      </c>
      <c r="G3118" s="12" t="inlineStr">
        <is>
          <t>ABS-C</t>
        </is>
      </c>
      <c r="H3118" s="12" t="inlineStr">
        <is>
          <t>Absorber C (62 ft dia x 262 ft, stack to 313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Tray</t>
        </is>
      </c>
      <c r="T3118" s="15" t="n">
        <v>250</v>
      </c>
      <c r="U3118" s="15" t="n">
        <v>80</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G-C-0034</t>
        </is>
      </c>
      <c r="B3119" s="12" t="inlineStr">
        <is>
          <t>G</t>
        </is>
      </c>
      <c r="C3119" s="12" t="inlineStr">
        <is>
          <t>Carbon capture</t>
        </is>
      </c>
      <c r="D3119" s="12" t="inlineStr">
        <is>
          <t>MOV 10: control</t>
        </is>
      </c>
      <c r="E3119" s="12" t="inlineStr"/>
      <c r="F3119" s="12" t="inlineStr">
        <is>
          <t>CCS MV switchgear building (VFDs)</t>
        </is>
      </c>
      <c r="G3119" s="12" t="inlineStr">
        <is>
          <t>ABS-C</t>
        </is>
      </c>
      <c r="H3119" s="12" t="inlineStr">
        <is>
          <t>Absorber C (62 ft dia x 262 ft, stack to 313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Tray</t>
        </is>
      </c>
      <c r="T3119" s="15" t="n">
        <v>250</v>
      </c>
      <c r="U3119" s="15" t="n">
        <v>80</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G-C-0035</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Absorber C intercooler (pumps + plate exchanger)</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5" t="n">
        <v>232</v>
      </c>
      <c r="U3120" s="15" t="n">
        <v>81</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G-C-0036</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Absorber C intercooler (pumps + plate exchanger)</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5" t="n">
        <v>232</v>
      </c>
      <c r="U3121" s="15" t="n">
        <v>81</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G-C-0037</t>
        </is>
      </c>
      <c r="B3122" s="12" t="inlineStr">
        <is>
          <t>G</t>
        </is>
      </c>
      <c r="C3122" s="12" t="inlineStr">
        <is>
          <t>Carbon capture</t>
        </is>
      </c>
      <c r="D3122" s="12" t="inlineStr">
        <is>
          <t>Motor 1 of 4: control / local station</t>
        </is>
      </c>
      <c r="E3122" s="12" t="inlineStr"/>
      <c r="F3122" s="12" t="inlineStr">
        <is>
          <t>CCS MV switchgear building (VFDs)</t>
        </is>
      </c>
      <c r="G3122" s="12" t="inlineStr">
        <is>
          <t>BF-A</t>
        </is>
      </c>
      <c r="H3122" s="12" t="inlineStr">
        <is>
          <t>BF-A: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460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G-C-0038</t>
        </is>
      </c>
      <c r="B3123" s="12" t="inlineStr">
        <is>
          <t>G</t>
        </is>
      </c>
      <c r="C3123" s="12" t="inlineStr">
        <is>
          <t>Carbon capture</t>
        </is>
      </c>
      <c r="D3123" s="12" t="inlineStr">
        <is>
          <t>Motor 2 of 4: control / local station</t>
        </is>
      </c>
      <c r="E3123" s="12" t="inlineStr"/>
      <c r="F3123" s="12" t="inlineStr">
        <is>
          <t>CCS MV switchgear building (VFDs)</t>
        </is>
      </c>
      <c r="G3123" s="12" t="inlineStr">
        <is>
          <t>BF-A</t>
        </is>
      </c>
      <c r="H3123" s="12" t="inlineStr">
        <is>
          <t>BF-A: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460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G-C-0039</t>
        </is>
      </c>
      <c r="B3124" s="12" t="inlineStr">
        <is>
          <t>G</t>
        </is>
      </c>
      <c r="C3124" s="12" t="inlineStr">
        <is>
          <t>Carbon capture</t>
        </is>
      </c>
      <c r="D3124" s="12" t="inlineStr">
        <is>
          <t>Motor 3 of 4: control / local station</t>
        </is>
      </c>
      <c r="E3124" s="12" t="inlineStr"/>
      <c r="F3124" s="12" t="inlineStr">
        <is>
          <t>CCS MV switchgear building (VFDs)</t>
        </is>
      </c>
      <c r="G3124" s="12" t="inlineStr">
        <is>
          <t>BF-A</t>
        </is>
      </c>
      <c r="H3124" s="12" t="inlineStr">
        <is>
          <t>BF-A: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460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G-C-0040</t>
        </is>
      </c>
      <c r="B3125" s="12" t="inlineStr">
        <is>
          <t>G</t>
        </is>
      </c>
      <c r="C3125" s="12" t="inlineStr">
        <is>
          <t>Carbon capture</t>
        </is>
      </c>
      <c r="D3125" s="12" t="inlineStr">
        <is>
          <t>Motor 4 of 4: control / local station</t>
        </is>
      </c>
      <c r="E3125" s="12" t="inlineStr"/>
      <c r="F3125" s="12" t="inlineStr">
        <is>
          <t>CCS MV switchgear building (VFDs)</t>
        </is>
      </c>
      <c r="G3125" s="12" t="inlineStr">
        <is>
          <t>BF-A</t>
        </is>
      </c>
      <c r="H3125" s="12" t="inlineStr">
        <is>
          <t>BF-A: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Duct bank</t>
        </is>
      </c>
      <c r="T3125" s="15" t="n">
        <v>460</v>
      </c>
      <c r="U3125" s="15" t="n">
        <v>32</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G-C-0041</t>
        </is>
      </c>
      <c r="B3126" s="12" t="inlineStr">
        <is>
          <t>G</t>
        </is>
      </c>
      <c r="C3126" s="12" t="inlineStr">
        <is>
          <t>Carbon capture</t>
        </is>
      </c>
      <c r="D3126" s="12" t="inlineStr">
        <is>
          <t>Motor 1 of 4: control / local station</t>
        </is>
      </c>
      <c r="E3126" s="12" t="inlineStr"/>
      <c r="F3126" s="12" t="inlineStr">
        <is>
          <t>CCS MV switchgear building (VFDs)</t>
        </is>
      </c>
      <c r="G3126" s="12" t="inlineStr">
        <is>
          <t>BF-B</t>
        </is>
      </c>
      <c r="H3126" s="12" t="inlineStr">
        <is>
          <t>BF-B: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Duct bank</t>
        </is>
      </c>
      <c r="T3126" s="15" t="n">
        <v>300</v>
      </c>
      <c r="U3126" s="15" t="n">
        <v>32</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G-C-0042</t>
        </is>
      </c>
      <c r="B3127" s="12" t="inlineStr">
        <is>
          <t>G</t>
        </is>
      </c>
      <c r="C3127" s="12" t="inlineStr">
        <is>
          <t>Carbon capture</t>
        </is>
      </c>
      <c r="D3127" s="12" t="inlineStr">
        <is>
          <t>Motor 2 of 4: control / local station</t>
        </is>
      </c>
      <c r="E3127" s="12" t="inlineStr"/>
      <c r="F3127" s="12" t="inlineStr">
        <is>
          <t>CCS MV switchgear building (VFDs)</t>
        </is>
      </c>
      <c r="G3127" s="12" t="inlineStr">
        <is>
          <t>BF-B</t>
        </is>
      </c>
      <c r="H3127" s="12" t="inlineStr">
        <is>
          <t>BF-B: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Duct bank</t>
        </is>
      </c>
      <c r="T3127" s="15" t="n">
        <v>300</v>
      </c>
      <c r="U3127" s="15" t="n">
        <v>32</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G-C-0043</t>
        </is>
      </c>
      <c r="B3128" s="12" t="inlineStr">
        <is>
          <t>G</t>
        </is>
      </c>
      <c r="C3128" s="12" t="inlineStr">
        <is>
          <t>Carbon capture</t>
        </is>
      </c>
      <c r="D3128" s="12" t="inlineStr">
        <is>
          <t>Motor 3 of 4: control / local station</t>
        </is>
      </c>
      <c r="E3128" s="12" t="inlineStr"/>
      <c r="F3128" s="12" t="inlineStr">
        <is>
          <t>CCS MV switchgear building (VFDs)</t>
        </is>
      </c>
      <c r="G3128" s="12" t="inlineStr">
        <is>
          <t>BF-B</t>
        </is>
      </c>
      <c r="H3128" s="12" t="inlineStr">
        <is>
          <t>BF-B: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Duct bank</t>
        </is>
      </c>
      <c r="T3128" s="15" t="n">
        <v>300</v>
      </c>
      <c r="U3128" s="15" t="n">
        <v>32</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G-C-0044</t>
        </is>
      </c>
      <c r="B3129" s="12" t="inlineStr">
        <is>
          <t>G</t>
        </is>
      </c>
      <c r="C3129" s="12" t="inlineStr">
        <is>
          <t>Carbon capture</t>
        </is>
      </c>
      <c r="D3129" s="12" t="inlineStr">
        <is>
          <t>Motor 4 of 4: control / local station</t>
        </is>
      </c>
      <c r="E3129" s="12" t="inlineStr"/>
      <c r="F3129" s="12" t="inlineStr">
        <is>
          <t>CCS MV switchgear building (VFDs)</t>
        </is>
      </c>
      <c r="G3129" s="12" t="inlineStr">
        <is>
          <t>BF-B</t>
        </is>
      </c>
      <c r="H3129" s="12" t="inlineStr">
        <is>
          <t>BF-B: booster fan (~16 MW)</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Duct bank</t>
        </is>
      </c>
      <c r="T3129" s="15" t="n">
        <v>300</v>
      </c>
      <c r="U3129" s="15" t="n">
        <v>32</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G-C-0045</t>
        </is>
      </c>
      <c r="B3130" s="12" t="inlineStr">
        <is>
          <t>G</t>
        </is>
      </c>
      <c r="C3130" s="12" t="inlineStr">
        <is>
          <t>Carbon capture</t>
        </is>
      </c>
      <c r="D3130" s="12" t="inlineStr">
        <is>
          <t>Motor 1 of 4: control / local station</t>
        </is>
      </c>
      <c r="E3130" s="12" t="inlineStr"/>
      <c r="F3130" s="12" t="inlineStr">
        <is>
          <t>CCS MV switchgear building (VFDs)</t>
        </is>
      </c>
      <c r="G3130" s="12" t="inlineStr">
        <is>
          <t>BF-C</t>
        </is>
      </c>
      <c r="H3130" s="12" t="inlineStr">
        <is>
          <t>BF-C: booster fan (~16 MW)</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5" t="n">
        <v>16</v>
      </c>
      <c r="U3130" s="15" t="n">
        <v>150</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G-C-0046</t>
        </is>
      </c>
      <c r="B3131" s="12" t="inlineStr">
        <is>
          <t>G</t>
        </is>
      </c>
      <c r="C3131" s="12" t="inlineStr">
        <is>
          <t>Carbon capture</t>
        </is>
      </c>
      <c r="D3131" s="12" t="inlineStr">
        <is>
          <t>Motor 2 of 4: control / local station</t>
        </is>
      </c>
      <c r="E3131" s="12" t="inlineStr"/>
      <c r="F3131" s="12" t="inlineStr">
        <is>
          <t>CCS MV switchgear building (VFDs)</t>
        </is>
      </c>
      <c r="G3131" s="12" t="inlineStr">
        <is>
          <t>BF-C</t>
        </is>
      </c>
      <c r="H3131" s="12" t="inlineStr">
        <is>
          <t>BF-C: booster fan (~16 MW)</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5" t="n">
        <v>16</v>
      </c>
      <c r="U3131" s="15" t="n">
        <v>150</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G-C-0047</t>
        </is>
      </c>
      <c r="B3132" s="12" t="inlineStr">
        <is>
          <t>G</t>
        </is>
      </c>
      <c r="C3132" s="12" t="inlineStr">
        <is>
          <t>Carbon capture</t>
        </is>
      </c>
      <c r="D3132" s="12" t="inlineStr">
        <is>
          <t>Motor 3 of 4: control / local station</t>
        </is>
      </c>
      <c r="E3132" s="12" t="inlineStr"/>
      <c r="F3132" s="12" t="inlineStr">
        <is>
          <t>CCS MV switchgear building (VFDs)</t>
        </is>
      </c>
      <c r="G3132" s="12" t="inlineStr">
        <is>
          <t>BF-C</t>
        </is>
      </c>
      <c r="H3132" s="12" t="inlineStr">
        <is>
          <t>BF-C: booster fan (~16 MW)</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5" t="n">
        <v>16</v>
      </c>
      <c r="U3132" s="15" t="n">
        <v>150</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G-C-0048</t>
        </is>
      </c>
      <c r="B3133" s="12" t="inlineStr">
        <is>
          <t>G</t>
        </is>
      </c>
      <c r="C3133" s="12" t="inlineStr">
        <is>
          <t>Carbon capture</t>
        </is>
      </c>
      <c r="D3133" s="12" t="inlineStr">
        <is>
          <t>Motor 4 of 4: control / local station</t>
        </is>
      </c>
      <c r="E3133" s="12" t="inlineStr"/>
      <c r="F3133" s="12" t="inlineStr">
        <is>
          <t>CCS MV switchgear building (VFDs)</t>
        </is>
      </c>
      <c r="G3133" s="12" t="inlineStr">
        <is>
          <t>BF-C</t>
        </is>
      </c>
      <c r="H3133" s="12" t="inlineStr">
        <is>
          <t>BF-C: booster fan (~16 MW)</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5" t="n">
        <v>16</v>
      </c>
      <c r="U3133" s="15" t="n">
        <v>150</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G-C-0049</t>
        </is>
      </c>
      <c r="B3134" s="12" t="inlineStr">
        <is>
          <t>G</t>
        </is>
      </c>
      <c r="C3134" s="12" t="inlineStr">
        <is>
          <t>Carbon capture</t>
        </is>
      </c>
      <c r="D3134" s="12" t="inlineStr">
        <is>
          <t>Control</t>
        </is>
      </c>
      <c r="E3134" s="12" t="inlineStr"/>
      <c r="F3134" s="12" t="inlineStr">
        <is>
          <t>CCS F&amp;G / control</t>
        </is>
      </c>
      <c r="G3134" s="12" t="inlineStr"/>
      <c r="H3134" s="12" t="inlineStr">
        <is>
          <t>CCS F&amp;G / control</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5" t="n">
        <v>0</v>
      </c>
      <c r="U3134" s="15" t="n">
        <v>170</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G-C-0050</t>
        </is>
      </c>
      <c r="B3135" s="12" t="inlineStr">
        <is>
          <t>G</t>
        </is>
      </c>
      <c r="C3135" s="12" t="inlineStr">
        <is>
          <t>Carbon capture</t>
        </is>
      </c>
      <c r="D3135" s="12" t="inlineStr">
        <is>
          <t>Control</t>
        </is>
      </c>
      <c r="E3135" s="12" t="inlineStr"/>
      <c r="F3135" s="12" t="inlineStr">
        <is>
          <t>CCS F&amp;G / control</t>
        </is>
      </c>
      <c r="G3135" s="12" t="inlineStr"/>
      <c r="H3135" s="12" t="inlineStr">
        <is>
          <t>CCS MV switchgear building (VFDs)</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206</v>
      </c>
      <c r="U3135" s="15" t="n">
        <v>101</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G-C-0051</t>
        </is>
      </c>
      <c r="B3136" s="12" t="inlineStr">
        <is>
          <t>G</t>
        </is>
      </c>
      <c r="C3136" s="12" t="inlineStr">
        <is>
          <t>Carbon capture</t>
        </is>
      </c>
      <c r="D3136" s="12" t="inlineStr">
        <is>
          <t>Motor 1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G-C-0052</t>
        </is>
      </c>
      <c r="B3137" s="12" t="inlineStr">
        <is>
          <t>G</t>
        </is>
      </c>
      <c r="C3137" s="12" t="inlineStr">
        <is>
          <t>Carbon capture</t>
        </is>
      </c>
      <c r="D3137" s="12" t="inlineStr">
        <is>
          <t>Motor 2 of 6: control / local station</t>
        </is>
      </c>
      <c r="E3137" s="12" t="inlineStr"/>
      <c r="F3137" s="12" t="inlineStr">
        <is>
          <t>CCS MV switchgear building (VFDs)</t>
        </is>
      </c>
      <c r="G3137" s="12" t="inlineStr">
        <is>
          <t>CCS T-1</t>
        </is>
      </c>
      <c r="H3137" s="12" t="inlineStr">
        <is>
          <t>CCS T-1: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361</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G-C-0053</t>
        </is>
      </c>
      <c r="B3138" s="12" t="inlineStr">
        <is>
          <t>G</t>
        </is>
      </c>
      <c r="C3138" s="12" t="inlineStr">
        <is>
          <t>Carbon capture</t>
        </is>
      </c>
      <c r="D3138" s="12" t="inlineStr">
        <is>
          <t>Motor 3 of 6: control / local station</t>
        </is>
      </c>
      <c r="E3138" s="12" t="inlineStr"/>
      <c r="F3138" s="12" t="inlineStr">
        <is>
          <t>CCS MV switchgear building (VFDs)</t>
        </is>
      </c>
      <c r="G3138" s="12" t="inlineStr">
        <is>
          <t>CCS T-1</t>
        </is>
      </c>
      <c r="H3138" s="12" t="inlineStr">
        <is>
          <t>CCS T-1: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361</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G-C-0054</t>
        </is>
      </c>
      <c r="B3139" s="12" t="inlineStr">
        <is>
          <t>G</t>
        </is>
      </c>
      <c r="C3139" s="12" t="inlineStr">
        <is>
          <t>Carbon capture</t>
        </is>
      </c>
      <c r="D3139" s="12" t="inlineStr">
        <is>
          <t>Motor 4 of 6: control / local station</t>
        </is>
      </c>
      <c r="E3139" s="12" t="inlineStr"/>
      <c r="F3139" s="12" t="inlineStr">
        <is>
          <t>CCS MV switchgear building (VFDs)</t>
        </is>
      </c>
      <c r="G3139" s="12" t="inlineStr">
        <is>
          <t>CCS T-1</t>
        </is>
      </c>
      <c r="H3139" s="12" t="inlineStr">
        <is>
          <t>CCS T-1: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361</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G-C-0055</t>
        </is>
      </c>
      <c r="B3140" s="12" t="inlineStr">
        <is>
          <t>G</t>
        </is>
      </c>
      <c r="C3140" s="12" t="inlineStr">
        <is>
          <t>Carbon capture</t>
        </is>
      </c>
      <c r="D3140" s="12" t="inlineStr">
        <is>
          <t>Motor 5 of 6: control / local station</t>
        </is>
      </c>
      <c r="E3140" s="12" t="inlineStr"/>
      <c r="F3140" s="12" t="inlineStr">
        <is>
          <t>CCS MV switchgear building (VFDs)</t>
        </is>
      </c>
      <c r="G3140" s="12" t="inlineStr">
        <is>
          <t>CCS T-1</t>
        </is>
      </c>
      <c r="H3140" s="12" t="inlineStr">
        <is>
          <t>CCS T-1: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361</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G-C-0056</t>
        </is>
      </c>
      <c r="B3141" s="12" t="inlineStr">
        <is>
          <t>G</t>
        </is>
      </c>
      <c r="C3141" s="12" t="inlineStr">
        <is>
          <t>Carbon capture</t>
        </is>
      </c>
      <c r="D3141" s="12" t="inlineStr">
        <is>
          <t>Motor 6 of 6: control / local station</t>
        </is>
      </c>
      <c r="E3141" s="12" t="inlineStr"/>
      <c r="F3141" s="12" t="inlineStr">
        <is>
          <t>CCS MV switchgear building (VFDs)</t>
        </is>
      </c>
      <c r="G3141" s="12" t="inlineStr">
        <is>
          <t>CCS T-1</t>
        </is>
      </c>
      <c r="H3141" s="12" t="inlineStr">
        <is>
          <t>CCS T-1: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361</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G-C-0057</t>
        </is>
      </c>
      <c r="B3142" s="12" t="inlineStr">
        <is>
          <t>G</t>
        </is>
      </c>
      <c r="C3142" s="12" t="inlineStr">
        <is>
          <t>Carbon capture</t>
        </is>
      </c>
      <c r="D3142" s="12" t="inlineStr">
        <is>
          <t>Motor 1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G-C-0058</t>
        </is>
      </c>
      <c r="B3143" s="12" t="inlineStr">
        <is>
          <t>G</t>
        </is>
      </c>
      <c r="C3143" s="12" t="inlineStr">
        <is>
          <t>Carbon capture</t>
        </is>
      </c>
      <c r="D3143" s="12" t="inlineStr">
        <is>
          <t>Motor 2 of 6: control / local station</t>
        </is>
      </c>
      <c r="E3143" s="12" t="inlineStr"/>
      <c r="F3143" s="12" t="inlineStr">
        <is>
          <t>CCS MV switchgear building (VFDs)</t>
        </is>
      </c>
      <c r="G3143" s="12" t="inlineStr">
        <is>
          <t>CCS T-2</t>
        </is>
      </c>
      <c r="H3143" s="12" t="inlineStr">
        <is>
          <t>CCS T-2: 230/13.8 kV</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Duct bank</t>
        </is>
      </c>
      <c r="T3143" s="15" t="n">
        <v>409</v>
      </c>
      <c r="U3143" s="15" t="n">
        <v>32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G-C-0059</t>
        </is>
      </c>
      <c r="B3144" s="12" t="inlineStr">
        <is>
          <t>G</t>
        </is>
      </c>
      <c r="C3144" s="12" t="inlineStr">
        <is>
          <t>Carbon capture</t>
        </is>
      </c>
      <c r="D3144" s="12" t="inlineStr">
        <is>
          <t>Motor 3 of 6: control / local station</t>
        </is>
      </c>
      <c r="E3144" s="12" t="inlineStr"/>
      <c r="F3144" s="12" t="inlineStr">
        <is>
          <t>CCS MV switchgear building (VFDs)</t>
        </is>
      </c>
      <c r="G3144" s="12" t="inlineStr">
        <is>
          <t>CCS T-2</t>
        </is>
      </c>
      <c r="H3144" s="12" t="inlineStr">
        <is>
          <t>CCS T-2: 230/13.8 kV</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Duct bank</t>
        </is>
      </c>
      <c r="T3144" s="15" t="n">
        <v>409</v>
      </c>
      <c r="U3144" s="15" t="n">
        <v>32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G-C-0060</t>
        </is>
      </c>
      <c r="B3145" s="12" t="inlineStr">
        <is>
          <t>G</t>
        </is>
      </c>
      <c r="C3145" s="12" t="inlineStr">
        <is>
          <t>Carbon capture</t>
        </is>
      </c>
      <c r="D3145" s="12" t="inlineStr">
        <is>
          <t>Motor 4 of 6: control / local station</t>
        </is>
      </c>
      <c r="E3145" s="12" t="inlineStr"/>
      <c r="F3145" s="12" t="inlineStr">
        <is>
          <t>CCS MV switchgear building (VFDs)</t>
        </is>
      </c>
      <c r="G3145" s="12" t="inlineStr">
        <is>
          <t>CCS T-2</t>
        </is>
      </c>
      <c r="H3145" s="12" t="inlineStr">
        <is>
          <t>CCS T-2: 230/13.8 kV</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5" t="n">
        <v>409</v>
      </c>
      <c r="U3145" s="15" t="n">
        <v>32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G-C-0061</t>
        </is>
      </c>
      <c r="B3146" s="12" t="inlineStr">
        <is>
          <t>G</t>
        </is>
      </c>
      <c r="C3146" s="12" t="inlineStr">
        <is>
          <t>Carbon capture</t>
        </is>
      </c>
      <c r="D3146" s="12" t="inlineStr">
        <is>
          <t>Motor 5 of 6: control / local station</t>
        </is>
      </c>
      <c r="E3146" s="12" t="inlineStr"/>
      <c r="F3146" s="12" t="inlineStr">
        <is>
          <t>CCS MV switchgear building (VFDs)</t>
        </is>
      </c>
      <c r="G3146" s="12" t="inlineStr">
        <is>
          <t>CCS T-2</t>
        </is>
      </c>
      <c r="H3146" s="12" t="inlineStr">
        <is>
          <t>CCS T-2: 230/13.8 kV</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5" t="n">
        <v>409</v>
      </c>
      <c r="U3146" s="15" t="n">
        <v>32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G-C-0062</t>
        </is>
      </c>
      <c r="B3147" s="12" t="inlineStr">
        <is>
          <t>G</t>
        </is>
      </c>
      <c r="C3147" s="12" t="inlineStr">
        <is>
          <t>Carbon capture</t>
        </is>
      </c>
      <c r="D3147" s="12" t="inlineStr">
        <is>
          <t>Motor 6 of 6: control / local station</t>
        </is>
      </c>
      <c r="E3147" s="12" t="inlineStr"/>
      <c r="F3147" s="12" t="inlineStr">
        <is>
          <t>CCS MV switchgear building (VFDs)</t>
        </is>
      </c>
      <c r="G3147" s="12" t="inlineStr">
        <is>
          <t>CCS T-2</t>
        </is>
      </c>
      <c r="H3147" s="12" t="inlineStr">
        <is>
          <t>CCS T-2: 230/13.8 kV</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5" t="n">
        <v>409</v>
      </c>
      <c r="U3147" s="15" t="n">
        <v>32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G-C-0063</t>
        </is>
      </c>
      <c r="B3148" s="12" t="inlineStr">
        <is>
          <t>G</t>
        </is>
      </c>
      <c r="C3148" s="12" t="inlineStr">
        <is>
          <t>Carbon capture</t>
        </is>
      </c>
      <c r="D3148" s="12" t="inlineStr">
        <is>
          <t>Motor 1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G-C-0064</t>
        </is>
      </c>
      <c r="B3149" s="12" t="inlineStr">
        <is>
          <t>G</t>
        </is>
      </c>
      <c r="C3149" s="12" t="inlineStr">
        <is>
          <t>Carbon capture</t>
        </is>
      </c>
      <c r="D3149" s="12" t="inlineStr">
        <is>
          <t>Motor 2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G-C-0065</t>
        </is>
      </c>
      <c r="B3150" s="12" t="inlineStr">
        <is>
          <t>G</t>
        </is>
      </c>
      <c r="C3150" s="12" t="inlineStr">
        <is>
          <t>Carbon capture</t>
        </is>
      </c>
      <c r="D3150" s="12" t="inlineStr">
        <is>
          <t>Motor 3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G-C-0066</t>
        </is>
      </c>
      <c r="B3151" s="12" t="inlineStr">
        <is>
          <t>G</t>
        </is>
      </c>
      <c r="C3151" s="12" t="inlineStr">
        <is>
          <t>Carbon capture</t>
        </is>
      </c>
      <c r="D3151" s="12" t="inlineStr">
        <is>
          <t>Motor 4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G-C-0067</t>
        </is>
      </c>
      <c r="B3152" s="12" t="inlineStr">
        <is>
          <t>G</t>
        </is>
      </c>
      <c r="C3152" s="12" t="inlineStr">
        <is>
          <t>Carbon capture</t>
        </is>
      </c>
      <c r="D3152" s="12" t="inlineStr">
        <is>
          <t>Motor 5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G-C-0068</t>
        </is>
      </c>
      <c r="B3153" s="12" t="inlineStr">
        <is>
          <t>G</t>
        </is>
      </c>
      <c r="C3153" s="12" t="inlineStr">
        <is>
          <t>Carbon capture</t>
        </is>
      </c>
      <c r="D3153" s="12" t="inlineStr">
        <is>
          <t>Motor 6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G-C-0069</t>
        </is>
      </c>
      <c r="B3154" s="12" t="inlineStr">
        <is>
          <t>G</t>
        </is>
      </c>
      <c r="C3154" s="12" t="inlineStr">
        <is>
          <t>Carbon capture</t>
        </is>
      </c>
      <c r="D3154" s="12" t="inlineStr">
        <is>
          <t>Motor 7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G-C-0070</t>
        </is>
      </c>
      <c r="B3155" s="12" t="inlineStr">
        <is>
          <t>G</t>
        </is>
      </c>
      <c r="C3155" s="12" t="inlineStr">
        <is>
          <t>Carbon capture</t>
        </is>
      </c>
      <c r="D3155" s="12" t="inlineStr">
        <is>
          <t>Motor 8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G-C-0071</t>
        </is>
      </c>
      <c r="B3156" s="12" t="inlineStr">
        <is>
          <t>G</t>
        </is>
      </c>
      <c r="C3156" s="12" t="inlineStr">
        <is>
          <t>Carbon capture</t>
        </is>
      </c>
      <c r="D3156" s="12" t="inlineStr">
        <is>
          <t>Motor 9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G-C-0072</t>
        </is>
      </c>
      <c r="B3157" s="12" t="inlineStr">
        <is>
          <t>G</t>
        </is>
      </c>
      <c r="C3157" s="12" t="inlineStr">
        <is>
          <t>Carbon capture</t>
        </is>
      </c>
      <c r="D3157" s="12" t="inlineStr">
        <is>
          <t>Motor 10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G-C-0073</t>
        </is>
      </c>
      <c r="B3158" s="12" t="inlineStr">
        <is>
          <t>G</t>
        </is>
      </c>
      <c r="C3158" s="12" t="inlineStr">
        <is>
          <t>Carbon capture</t>
        </is>
      </c>
      <c r="D3158" s="12" t="inlineStr">
        <is>
          <t>Motor 11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G-C-0074</t>
        </is>
      </c>
      <c r="B3159" s="12" t="inlineStr">
        <is>
          <t>G</t>
        </is>
      </c>
      <c r="C3159" s="12" t="inlineStr">
        <is>
          <t>Carbon capture</t>
        </is>
      </c>
      <c r="D3159" s="12" t="inlineStr">
        <is>
          <t>Motor 12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G-C-0075</t>
        </is>
      </c>
      <c r="B3160" s="12" t="inlineStr">
        <is>
          <t>G</t>
        </is>
      </c>
      <c r="C3160" s="12" t="inlineStr">
        <is>
          <t>Carbon capture</t>
        </is>
      </c>
      <c r="D3160" s="12" t="inlineStr">
        <is>
          <t>Motor 13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G-C-0076</t>
        </is>
      </c>
      <c r="B3161" s="12" t="inlineStr">
        <is>
          <t>G</t>
        </is>
      </c>
      <c r="C3161" s="12" t="inlineStr">
        <is>
          <t>Carbon capture</t>
        </is>
      </c>
      <c r="D3161" s="12" t="inlineStr">
        <is>
          <t>Motor 14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G-C-0077</t>
        </is>
      </c>
      <c r="B3162" s="12" t="inlineStr">
        <is>
          <t>G</t>
        </is>
      </c>
      <c r="C3162" s="12" t="inlineStr">
        <is>
          <t>Carbon capture</t>
        </is>
      </c>
      <c r="D3162" s="12" t="inlineStr">
        <is>
          <t>Motor 15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G-C-0078</t>
        </is>
      </c>
      <c r="B3163" s="12" t="inlineStr">
        <is>
          <t>G</t>
        </is>
      </c>
      <c r="C3163" s="12" t="inlineStr">
        <is>
          <t>Carbon capture</t>
        </is>
      </c>
      <c r="D3163" s="12" t="inlineStr">
        <is>
          <t>Motor 16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G-C-0079</t>
        </is>
      </c>
      <c r="B3164" s="12" t="inlineStr">
        <is>
          <t>G</t>
        </is>
      </c>
      <c r="C3164" s="12" t="inlineStr">
        <is>
          <t>Carbon capture</t>
        </is>
      </c>
      <c r="D3164" s="12" t="inlineStr">
        <is>
          <t>Motor 17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G-C-0080</t>
        </is>
      </c>
      <c r="B3165" s="12" t="inlineStr">
        <is>
          <t>G</t>
        </is>
      </c>
      <c r="C3165" s="12" t="inlineStr">
        <is>
          <t>Carbon capture</t>
        </is>
      </c>
      <c r="D3165" s="12" t="inlineStr">
        <is>
          <t>Motor 18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G-C-0081</t>
        </is>
      </c>
      <c r="B3166" s="12" t="inlineStr">
        <is>
          <t>G</t>
        </is>
      </c>
      <c r="C3166" s="12" t="inlineStr">
        <is>
          <t>Carbon capture</t>
        </is>
      </c>
      <c r="D3166" s="12" t="inlineStr">
        <is>
          <t>Motor 19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G-C-0082</t>
        </is>
      </c>
      <c r="B3167" s="12" t="inlineStr">
        <is>
          <t>G</t>
        </is>
      </c>
      <c r="C3167" s="12" t="inlineStr">
        <is>
          <t>Carbon capture</t>
        </is>
      </c>
      <c r="D3167" s="12" t="inlineStr">
        <is>
          <t>Motor 20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G-C-0083</t>
        </is>
      </c>
      <c r="B3168" s="12" t="inlineStr">
        <is>
          <t>G</t>
        </is>
      </c>
      <c r="C3168" s="12" t="inlineStr">
        <is>
          <t>Carbon capture</t>
        </is>
      </c>
      <c r="D3168" s="12" t="inlineStr">
        <is>
          <t>Motor 21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G-C-0084</t>
        </is>
      </c>
      <c r="B3169" s="12" t="inlineStr">
        <is>
          <t>G</t>
        </is>
      </c>
      <c r="C3169" s="12" t="inlineStr">
        <is>
          <t>Carbon capture</t>
        </is>
      </c>
      <c r="D3169" s="12" t="inlineStr">
        <is>
          <t>Motor 22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G-C-0085</t>
        </is>
      </c>
      <c r="B3170" s="12" t="inlineStr">
        <is>
          <t>G</t>
        </is>
      </c>
      <c r="C3170" s="12" t="inlineStr">
        <is>
          <t>Carbon capture</t>
        </is>
      </c>
      <c r="D3170" s="12" t="inlineStr">
        <is>
          <t>Motor 23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G-C-0086</t>
        </is>
      </c>
      <c r="B3171" s="12" t="inlineStr">
        <is>
          <t>G</t>
        </is>
      </c>
      <c r="C3171" s="12" t="inlineStr">
        <is>
          <t>Carbon capture</t>
        </is>
      </c>
      <c r="D3171" s="12" t="inlineStr">
        <is>
          <t>Motor 24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G-C-0087</t>
        </is>
      </c>
      <c r="B3172" s="12" t="inlineStr">
        <is>
          <t>G</t>
        </is>
      </c>
      <c r="C3172" s="12" t="inlineStr">
        <is>
          <t>Carbon capture</t>
        </is>
      </c>
      <c r="D3172" s="12" t="inlineStr">
        <is>
          <t>Motor 25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G-C-0088</t>
        </is>
      </c>
      <c r="B3173" s="12" t="inlineStr">
        <is>
          <t>G</t>
        </is>
      </c>
      <c r="C3173" s="12" t="inlineStr">
        <is>
          <t>Carbon capture</t>
        </is>
      </c>
      <c r="D3173" s="12" t="inlineStr">
        <is>
          <t>Motor 26 of 30: control / local station</t>
        </is>
      </c>
      <c r="E3173" s="12" t="inlineStr"/>
      <c r="F3173" s="12" t="inlineStr">
        <is>
          <t>CT MCC / VFD e-house</t>
        </is>
      </c>
      <c r="G3173" s="12" t="inlineStr">
        <is>
          <t>CCS-CT</t>
        </is>
      </c>
      <c r="H3173" s="12" t="inlineStr">
        <is>
          <t>CCS cooling tower (~30 cells): CCS process cooling only</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Tray</t>
        </is>
      </c>
      <c r="T3173" s="15" t="n">
        <v>0</v>
      </c>
      <c r="U3173" s="15" t="n">
        <v>42</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G-C-0089</t>
        </is>
      </c>
      <c r="B3174" s="12" t="inlineStr">
        <is>
          <t>G</t>
        </is>
      </c>
      <c r="C3174" s="12" t="inlineStr">
        <is>
          <t>Carbon capture</t>
        </is>
      </c>
      <c r="D3174" s="12" t="inlineStr">
        <is>
          <t>Motor 27 of 30: control / local station</t>
        </is>
      </c>
      <c r="E3174" s="12" t="inlineStr"/>
      <c r="F3174" s="12" t="inlineStr">
        <is>
          <t>CT MCC / VFD e-house</t>
        </is>
      </c>
      <c r="G3174" s="12" t="inlineStr">
        <is>
          <t>CCS-CT</t>
        </is>
      </c>
      <c r="H3174" s="12" t="inlineStr">
        <is>
          <t>CCS cooling tower (~30 cells): CCS process cooling only</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Tray</t>
        </is>
      </c>
      <c r="T3174" s="15" t="n">
        <v>0</v>
      </c>
      <c r="U3174" s="15" t="n">
        <v>42</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G-C-0090</t>
        </is>
      </c>
      <c r="B3175" s="12" t="inlineStr">
        <is>
          <t>G</t>
        </is>
      </c>
      <c r="C3175" s="12" t="inlineStr">
        <is>
          <t>Carbon capture</t>
        </is>
      </c>
      <c r="D3175" s="12" t="inlineStr">
        <is>
          <t>Motor 28 of 30: control / local station</t>
        </is>
      </c>
      <c r="E3175" s="12" t="inlineStr"/>
      <c r="F3175" s="12" t="inlineStr">
        <is>
          <t>CT MCC / VFD e-house</t>
        </is>
      </c>
      <c r="G3175" s="12" t="inlineStr">
        <is>
          <t>CCS-CT</t>
        </is>
      </c>
      <c r="H3175" s="12" t="inlineStr">
        <is>
          <t>CCS cooling tower (~30 cells): CCS process cooling only</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Tray</t>
        </is>
      </c>
      <c r="T3175" s="15" t="n">
        <v>0</v>
      </c>
      <c r="U3175" s="15" t="n">
        <v>42</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G-C-0091</t>
        </is>
      </c>
      <c r="B3176" s="12" t="inlineStr">
        <is>
          <t>G</t>
        </is>
      </c>
      <c r="C3176" s="12" t="inlineStr">
        <is>
          <t>Carbon capture</t>
        </is>
      </c>
      <c r="D3176" s="12" t="inlineStr">
        <is>
          <t>Motor 29 of 30: control / local station</t>
        </is>
      </c>
      <c r="E3176" s="12" t="inlineStr"/>
      <c r="F3176" s="12" t="inlineStr">
        <is>
          <t>CT MCC / VFD e-house</t>
        </is>
      </c>
      <c r="G3176" s="12" t="inlineStr">
        <is>
          <t>CCS-CT</t>
        </is>
      </c>
      <c r="H3176" s="12" t="inlineStr">
        <is>
          <t>CCS cooling tower (~30 cells): CCS process cooling only</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Tray</t>
        </is>
      </c>
      <c r="T3176" s="15" t="n">
        <v>0</v>
      </c>
      <c r="U3176" s="15" t="n">
        <v>42</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G-C-0092</t>
        </is>
      </c>
      <c r="B3177" s="12" t="inlineStr">
        <is>
          <t>G</t>
        </is>
      </c>
      <c r="C3177" s="12" t="inlineStr">
        <is>
          <t>Carbon capture</t>
        </is>
      </c>
      <c r="D3177" s="12" t="inlineStr">
        <is>
          <t>Motor 30 of 30: control / local station</t>
        </is>
      </c>
      <c r="E3177" s="12" t="inlineStr"/>
      <c r="F3177" s="12" t="inlineStr">
        <is>
          <t>CT MCC / VFD e-house</t>
        </is>
      </c>
      <c r="G3177" s="12" t="inlineStr">
        <is>
          <t>CCS-CT</t>
        </is>
      </c>
      <c r="H3177" s="12" t="inlineStr">
        <is>
          <t>CCS cooling tower (~30 cells): CCS process cooling only</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Tray</t>
        </is>
      </c>
      <c r="T3177" s="15" t="n">
        <v>0</v>
      </c>
      <c r="U3177" s="15" t="n">
        <v>42</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G-C-0093</t>
        </is>
      </c>
      <c r="B3178" s="12" t="inlineStr">
        <is>
          <t>G</t>
        </is>
      </c>
      <c r="C3178" s="12" t="inlineStr">
        <is>
          <t>Carbon capture</t>
        </is>
      </c>
      <c r="D3178" s="12" t="inlineStr">
        <is>
          <t>Motor 1 of 2: control / local station</t>
        </is>
      </c>
      <c r="E3178" s="12" t="inlineStr"/>
      <c r="F3178" s="12" t="inlineStr">
        <is>
          <t>CCS MV switchgear building (VFDs)</t>
        </is>
      </c>
      <c r="G3178" s="12" t="inlineStr"/>
      <c r="H3178" s="12" t="inlineStr">
        <is>
          <t>CCS instrument air</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206</v>
      </c>
      <c r="U3178" s="15" t="n">
        <v>51</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G-C-0094</t>
        </is>
      </c>
      <c r="B3179" s="12" t="inlineStr">
        <is>
          <t>G</t>
        </is>
      </c>
      <c r="C3179" s="12" t="inlineStr">
        <is>
          <t>Carbon capture</t>
        </is>
      </c>
      <c r="D3179" s="12" t="inlineStr">
        <is>
          <t>Motor 2 of 2: control / local station</t>
        </is>
      </c>
      <c r="E3179" s="12" t="inlineStr"/>
      <c r="F3179" s="12" t="inlineStr">
        <is>
          <t>CCS MV switchgear building (VFDs)</t>
        </is>
      </c>
      <c r="G3179" s="12" t="inlineStr"/>
      <c r="H3179" s="12" t="inlineStr">
        <is>
          <t>CCS instrument air</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206</v>
      </c>
      <c r="U3179" s="15" t="n">
        <v>51</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G-C-0095</t>
        </is>
      </c>
      <c r="B3180" s="12" t="inlineStr">
        <is>
          <t>G</t>
        </is>
      </c>
      <c r="C3180" s="12" t="inlineStr">
        <is>
          <t>Carbon capture</t>
        </is>
      </c>
      <c r="D3180" s="12" t="inlineStr">
        <is>
          <t>Motor 1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G-C-0096</t>
        </is>
      </c>
      <c r="B3181" s="12" t="inlineStr">
        <is>
          <t>G</t>
        </is>
      </c>
      <c r="C3181" s="12" t="inlineStr">
        <is>
          <t>Carbon capture</t>
        </is>
      </c>
      <c r="D3181" s="12" t="inlineStr">
        <is>
          <t>Motor 2 of 6: control / local station</t>
        </is>
      </c>
      <c r="E3181" s="12" t="inlineStr"/>
      <c r="F3181" s="12" t="inlineStr">
        <is>
          <t>CT MCC / VFD e-house</t>
        </is>
      </c>
      <c r="G3181" s="12" t="inlineStr"/>
      <c r="H3181" s="12" t="inlineStr">
        <is>
          <t>CCS wastewater (DCC + tower blowdown)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5</v>
      </c>
      <c r="U3181" s="15" t="n">
        <v>87</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G-C-0097</t>
        </is>
      </c>
      <c r="B3182" s="12" t="inlineStr">
        <is>
          <t>G</t>
        </is>
      </c>
      <c r="C3182" s="12" t="inlineStr">
        <is>
          <t>Carbon capture</t>
        </is>
      </c>
      <c r="D3182" s="12" t="inlineStr">
        <is>
          <t>Motor 3 of 6: control / local station</t>
        </is>
      </c>
      <c r="E3182" s="12" t="inlineStr"/>
      <c r="F3182" s="12" t="inlineStr">
        <is>
          <t>CT MCC / VFD e-house</t>
        </is>
      </c>
      <c r="G3182" s="12" t="inlineStr"/>
      <c r="H3182" s="12" t="inlineStr">
        <is>
          <t>CCS wastewater (DCC + tower blowdown)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5</v>
      </c>
      <c r="U3182" s="15" t="n">
        <v>87</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G-C-0098</t>
        </is>
      </c>
      <c r="B3183" s="12" t="inlineStr">
        <is>
          <t>G</t>
        </is>
      </c>
      <c r="C3183" s="12" t="inlineStr">
        <is>
          <t>Carbon capture</t>
        </is>
      </c>
      <c r="D3183" s="12" t="inlineStr">
        <is>
          <t>Motor 4 of 6: control / local station</t>
        </is>
      </c>
      <c r="E3183" s="12" t="inlineStr"/>
      <c r="F3183" s="12" t="inlineStr">
        <is>
          <t>CT MCC / VFD e-house</t>
        </is>
      </c>
      <c r="G3183" s="12" t="inlineStr"/>
      <c r="H3183" s="12" t="inlineStr">
        <is>
          <t>CCS wastewater (DCC + tower blowdown)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5</v>
      </c>
      <c r="U3183" s="15" t="n">
        <v>87</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G-C-0099</t>
        </is>
      </c>
      <c r="B3184" s="12" t="inlineStr">
        <is>
          <t>G</t>
        </is>
      </c>
      <c r="C3184" s="12" t="inlineStr">
        <is>
          <t>Carbon capture</t>
        </is>
      </c>
      <c r="D3184" s="12" t="inlineStr">
        <is>
          <t>Motor 5 of 6: control / local station</t>
        </is>
      </c>
      <c r="E3184" s="12" t="inlineStr"/>
      <c r="F3184" s="12" t="inlineStr">
        <is>
          <t>CT MCC / VFD e-house</t>
        </is>
      </c>
      <c r="G3184" s="12" t="inlineStr"/>
      <c r="H3184" s="12" t="inlineStr">
        <is>
          <t>CCS wastewater (DCC + tower blowdown)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5</v>
      </c>
      <c r="U3184" s="15" t="n">
        <v>87</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G-C-0100</t>
        </is>
      </c>
      <c r="B3185" s="12" t="inlineStr">
        <is>
          <t>G</t>
        </is>
      </c>
      <c r="C3185" s="12" t="inlineStr">
        <is>
          <t>Carbon capture</t>
        </is>
      </c>
      <c r="D3185" s="12" t="inlineStr">
        <is>
          <t>Motor 6 of 6: control / local station</t>
        </is>
      </c>
      <c r="E3185" s="12" t="inlineStr"/>
      <c r="F3185" s="12" t="inlineStr">
        <is>
          <t>CT MCC / VFD e-house</t>
        </is>
      </c>
      <c r="G3185" s="12" t="inlineStr"/>
      <c r="H3185" s="12" t="inlineStr">
        <is>
          <t>CCS wastewater (DCC + tower blowdown)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5</v>
      </c>
      <c r="U3185" s="15" t="n">
        <v>87</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G-C-0101</t>
        </is>
      </c>
      <c r="B3186" s="12" t="inlineStr">
        <is>
          <t>G</t>
        </is>
      </c>
      <c r="C3186" s="12" t="inlineStr">
        <is>
          <t>Carbon capture</t>
        </is>
      </c>
      <c r="D3186" s="12" t="inlineStr">
        <is>
          <t>Motor 1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G-C-0102</t>
        </is>
      </c>
      <c r="B3187" s="12" t="inlineStr">
        <is>
          <t>G</t>
        </is>
      </c>
      <c r="C3187" s="12" t="inlineStr">
        <is>
          <t>Carbon capture</t>
        </is>
      </c>
      <c r="D3187" s="12" t="inlineStr">
        <is>
          <t>Motor 2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G-C-0103</t>
        </is>
      </c>
      <c r="B3188" s="12" t="inlineStr">
        <is>
          <t>G</t>
        </is>
      </c>
      <c r="C3188" s="12" t="inlineStr">
        <is>
          <t>Carbon capture</t>
        </is>
      </c>
      <c r="D3188" s="12" t="inlineStr">
        <is>
          <t>Motor 3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G-C-0104</t>
        </is>
      </c>
      <c r="B3189" s="12" t="inlineStr">
        <is>
          <t>G</t>
        </is>
      </c>
      <c r="C3189" s="12" t="inlineStr">
        <is>
          <t>Carbon capture</t>
        </is>
      </c>
      <c r="D3189" s="12" t="inlineStr">
        <is>
          <t>Motor 4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G-C-0105</t>
        </is>
      </c>
      <c r="B3190" s="12" t="inlineStr">
        <is>
          <t>G</t>
        </is>
      </c>
      <c r="C3190" s="12" t="inlineStr">
        <is>
          <t>Carbon capture</t>
        </is>
      </c>
      <c r="D3190" s="12" t="inlineStr">
        <is>
          <t>Motor 5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G-C-0106</t>
        </is>
      </c>
      <c r="B3191" s="12" t="inlineStr">
        <is>
          <t>G</t>
        </is>
      </c>
      <c r="C3191" s="12" t="inlineStr">
        <is>
          <t>Carbon capture</t>
        </is>
      </c>
      <c r="D3191" s="12" t="inlineStr">
        <is>
          <t>Motor 6 of 10: control / local station</t>
        </is>
      </c>
      <c r="E3191" s="12" t="inlineStr"/>
      <c r="F3191" s="12" t="inlineStr">
        <is>
          <t>CCS MV switchgear building (VFDs)</t>
        </is>
      </c>
      <c r="G3191" s="12" t="inlineStr"/>
      <c r="H3191" s="12" t="inlineStr">
        <is>
          <t>CO2 compression 3 x ~19 MW + dehydration</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291</v>
      </c>
      <c r="U3191" s="15" t="n">
        <v>36</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G-C-0107</t>
        </is>
      </c>
      <c r="B3192" s="12" t="inlineStr">
        <is>
          <t>G</t>
        </is>
      </c>
      <c r="C3192" s="12" t="inlineStr">
        <is>
          <t>Carbon capture</t>
        </is>
      </c>
      <c r="D3192" s="12" t="inlineStr">
        <is>
          <t>Motor 7 of 10: control / local station</t>
        </is>
      </c>
      <c r="E3192" s="12" t="inlineStr"/>
      <c r="F3192" s="12" t="inlineStr">
        <is>
          <t>CCS MV switchgear building (VFDs)</t>
        </is>
      </c>
      <c r="G3192" s="12" t="inlineStr"/>
      <c r="H3192" s="12" t="inlineStr">
        <is>
          <t>CO2 compression 3 x ~19 MW + dehydration</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291</v>
      </c>
      <c r="U3192" s="15" t="n">
        <v>36</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G-C-0108</t>
        </is>
      </c>
      <c r="B3193" s="12" t="inlineStr">
        <is>
          <t>G</t>
        </is>
      </c>
      <c r="C3193" s="12" t="inlineStr">
        <is>
          <t>Carbon capture</t>
        </is>
      </c>
      <c r="D3193" s="12" t="inlineStr">
        <is>
          <t>Motor 8 of 10: control / local station</t>
        </is>
      </c>
      <c r="E3193" s="12" t="inlineStr"/>
      <c r="F3193" s="12" t="inlineStr">
        <is>
          <t>CCS MV switchgear building (VFDs)</t>
        </is>
      </c>
      <c r="G3193" s="12" t="inlineStr"/>
      <c r="H3193" s="12" t="inlineStr">
        <is>
          <t>CO2 compression 3 x ~19 MW + dehydration</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291</v>
      </c>
      <c r="U3193" s="15" t="n">
        <v>36</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G-C-0109</t>
        </is>
      </c>
      <c r="B3194" s="12" t="inlineStr">
        <is>
          <t>G</t>
        </is>
      </c>
      <c r="C3194" s="12" t="inlineStr">
        <is>
          <t>Carbon capture</t>
        </is>
      </c>
      <c r="D3194" s="12" t="inlineStr">
        <is>
          <t>Motor 9 of 10: control / local station</t>
        </is>
      </c>
      <c r="E3194" s="12" t="inlineStr"/>
      <c r="F3194" s="12" t="inlineStr">
        <is>
          <t>CCS MV switchgear building (VFDs)</t>
        </is>
      </c>
      <c r="G3194" s="12" t="inlineStr"/>
      <c r="H3194" s="12" t="inlineStr">
        <is>
          <t>CO2 compression 3 x ~19 MW + dehydration</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Duct bank</t>
        </is>
      </c>
      <c r="T3194" s="15" t="n">
        <v>291</v>
      </c>
      <c r="U3194" s="15" t="n">
        <v>36</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G-C-0110</t>
        </is>
      </c>
      <c r="B3195" s="12" t="inlineStr">
        <is>
          <t>G</t>
        </is>
      </c>
      <c r="C3195" s="12" t="inlineStr">
        <is>
          <t>Carbon capture</t>
        </is>
      </c>
      <c r="D3195" s="12" t="inlineStr">
        <is>
          <t>Motor 10 of 10: control / local station</t>
        </is>
      </c>
      <c r="E3195" s="12" t="inlineStr"/>
      <c r="F3195" s="12" t="inlineStr">
        <is>
          <t>CCS MV switchgear building (VFDs)</t>
        </is>
      </c>
      <c r="G3195" s="12" t="inlineStr"/>
      <c r="H3195" s="12" t="inlineStr">
        <is>
          <t>CO2 compression 3 x ~19 MW + dehydration</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Duct bank</t>
        </is>
      </c>
      <c r="T3195" s="15" t="n">
        <v>291</v>
      </c>
      <c r="U3195" s="15" t="n">
        <v>36</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G-C-0111</t>
        </is>
      </c>
      <c r="B3196" s="12" t="inlineStr">
        <is>
          <t>G</t>
        </is>
      </c>
      <c r="C3196" s="12" t="inlineStr">
        <is>
          <t>Carbon capture</t>
        </is>
      </c>
      <c r="D3196" s="12" t="inlineStr">
        <is>
          <t>Motor 1 of 2: control / local station</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G-C-0112</t>
        </is>
      </c>
      <c r="B3197" s="12" t="inlineStr">
        <is>
          <t>G</t>
        </is>
      </c>
      <c r="C3197" s="12" t="inlineStr">
        <is>
          <t>Carbon capture</t>
        </is>
      </c>
      <c r="D3197" s="12" t="inlineStr">
        <is>
          <t>Motor 2 of 2: control / local station</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G-C-0113</t>
        </is>
      </c>
      <c r="B3198" s="12" t="inlineStr">
        <is>
          <t>G</t>
        </is>
      </c>
      <c r="C3198" s="12" t="inlineStr">
        <is>
          <t>Carbon capture</t>
        </is>
      </c>
      <c r="D3198" s="12" t="inlineStr">
        <is>
          <t>Motor 1 of 1: control / local station</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G-C-0114</t>
        </is>
      </c>
      <c r="B3199" s="12" t="inlineStr">
        <is>
          <t>G</t>
        </is>
      </c>
      <c r="C3199" s="12" t="inlineStr">
        <is>
          <t>Carbon capture</t>
        </is>
      </c>
      <c r="D3199" s="12" t="inlineStr">
        <is>
          <t>MOV 1: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G-C-0115</t>
        </is>
      </c>
      <c r="B3200" s="12" t="inlineStr">
        <is>
          <t>G</t>
        </is>
      </c>
      <c r="C3200" s="12" t="inlineStr">
        <is>
          <t>Carbon capture</t>
        </is>
      </c>
      <c r="D3200" s="12" t="inlineStr">
        <is>
          <t>MOV 2: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G-C-0116</t>
        </is>
      </c>
      <c r="B3201" s="12" t="inlineStr">
        <is>
          <t>G</t>
        </is>
      </c>
      <c r="C3201" s="12" t="inlineStr">
        <is>
          <t>Carbon capture</t>
        </is>
      </c>
      <c r="D3201" s="12" t="inlineStr">
        <is>
          <t>MOV 3: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G-C-0117</t>
        </is>
      </c>
      <c r="B3202" s="12" t="inlineStr">
        <is>
          <t>G</t>
        </is>
      </c>
      <c r="C3202" s="12" t="inlineStr">
        <is>
          <t>Carbon capture</t>
        </is>
      </c>
      <c r="D3202" s="12" t="inlineStr">
        <is>
          <t>MOV 4: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G-C-0118</t>
        </is>
      </c>
      <c r="B3203" s="12" t="inlineStr">
        <is>
          <t>G</t>
        </is>
      </c>
      <c r="C3203" s="12" t="inlineStr">
        <is>
          <t>Carbon capture</t>
        </is>
      </c>
      <c r="D3203" s="12" t="inlineStr">
        <is>
          <t>MOV 5: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G-C-0119</t>
        </is>
      </c>
      <c r="B3204" s="12" t="inlineStr">
        <is>
          <t>G</t>
        </is>
      </c>
      <c r="C3204" s="12" t="inlineStr">
        <is>
          <t>Carbon capture</t>
        </is>
      </c>
      <c r="D3204" s="12" t="inlineStr">
        <is>
          <t>MOV 6: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G-C-0120</t>
        </is>
      </c>
      <c r="B3205" s="12" t="inlineStr">
        <is>
          <t>G</t>
        </is>
      </c>
      <c r="C3205" s="12" t="inlineStr">
        <is>
          <t>Carbon capture</t>
        </is>
      </c>
      <c r="D3205" s="12" t="inlineStr">
        <is>
          <t>MOV 7: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G-C-0121</t>
        </is>
      </c>
      <c r="B3206" s="12" t="inlineStr">
        <is>
          <t>G</t>
        </is>
      </c>
      <c r="C3206" s="12" t="inlineStr">
        <is>
          <t>Carbon capture</t>
        </is>
      </c>
      <c r="D3206" s="12" t="inlineStr">
        <is>
          <t>MOV 8: control</t>
        </is>
      </c>
      <c r="E3206" s="12" t="inlineStr"/>
      <c r="F3206" s="12" t="inlineStr">
        <is>
          <t>CCS MV switchgear building (VFDs)</t>
        </is>
      </c>
      <c r="G3206" s="12" t="inlineStr"/>
      <c r="H3206" s="12" t="inlineStr">
        <is>
          <t>CO2 dehydration: molecular-sieve towers and regeneration heater</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5" t="n">
        <v>305</v>
      </c>
      <c r="U3206" s="15" t="n">
        <v>160</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G-C-0122</t>
        </is>
      </c>
      <c r="B3207" s="12" t="inlineStr">
        <is>
          <t>G</t>
        </is>
      </c>
      <c r="C3207" s="12" t="inlineStr">
        <is>
          <t>Carbon capture</t>
        </is>
      </c>
      <c r="D3207" s="12" t="inlineStr">
        <is>
          <t>MOV 9: control</t>
        </is>
      </c>
      <c r="E3207" s="12" t="inlineStr"/>
      <c r="F3207" s="12" t="inlineStr">
        <is>
          <t>CCS MV switchgear building (VFDs)</t>
        </is>
      </c>
      <c r="G3207" s="12" t="inlineStr"/>
      <c r="H3207" s="12" t="inlineStr">
        <is>
          <t>CO2 dehydration: molecular-sieve towers and regeneration heater</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5" t="n">
        <v>305</v>
      </c>
      <c r="U3207" s="15" t="n">
        <v>160</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G-C-0123</t>
        </is>
      </c>
      <c r="B3208" s="12" t="inlineStr">
        <is>
          <t>G</t>
        </is>
      </c>
      <c r="C3208" s="12" t="inlineStr">
        <is>
          <t>Carbon capture</t>
        </is>
      </c>
      <c r="D3208" s="12" t="inlineStr">
        <is>
          <t>MOV 10: control</t>
        </is>
      </c>
      <c r="E3208" s="12" t="inlineStr"/>
      <c r="F3208" s="12" t="inlineStr">
        <is>
          <t>CCS MV switchgear building (VFDs)</t>
        </is>
      </c>
      <c r="G3208" s="12" t="inlineStr"/>
      <c r="H3208" s="12" t="inlineStr">
        <is>
          <t>CO2 dehydration: molecular-sieve towers and regeneration heater</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5" t="n">
        <v>305</v>
      </c>
      <c r="U3208" s="15" t="n">
        <v>160</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G-C-0124</t>
        </is>
      </c>
      <c r="B3209" s="12" t="inlineStr">
        <is>
          <t>G</t>
        </is>
      </c>
      <c r="C3209" s="12" t="inlineStr">
        <is>
          <t>Carbon capture</t>
        </is>
      </c>
      <c r="D3209" s="12" t="inlineStr">
        <is>
          <t>MOV 11: control</t>
        </is>
      </c>
      <c r="E3209" s="12" t="inlineStr"/>
      <c r="F3209" s="12" t="inlineStr">
        <is>
          <t>CCS MV switchgear building (VFDs)</t>
        </is>
      </c>
      <c r="G3209" s="12" t="inlineStr"/>
      <c r="H3209" s="12" t="inlineStr">
        <is>
          <t>CO2 dehydration: molecular-sieve towers and regeneration heater</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5" t="n">
        <v>305</v>
      </c>
      <c r="U3209" s="15" t="n">
        <v>160</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G-C-0125</t>
        </is>
      </c>
      <c r="B3210" s="12" t="inlineStr">
        <is>
          <t>G</t>
        </is>
      </c>
      <c r="C3210" s="12" t="inlineStr">
        <is>
          <t>Carbon capture</t>
        </is>
      </c>
      <c r="D3210" s="12" t="inlineStr">
        <is>
          <t>MOV 12: control</t>
        </is>
      </c>
      <c r="E3210" s="12" t="inlineStr"/>
      <c r="F3210" s="12" t="inlineStr">
        <is>
          <t>CCS MV switchgear building (VFDs)</t>
        </is>
      </c>
      <c r="G3210" s="12" t="inlineStr"/>
      <c r="H3210" s="12" t="inlineStr">
        <is>
          <t>CO2 dehydration: molecular-sieve towers and regeneration heater</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5" t="n">
        <v>305</v>
      </c>
      <c r="U3210" s="15" t="n">
        <v>160</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G-C-0126</t>
        </is>
      </c>
      <c r="B3211" s="12" t="inlineStr">
        <is>
          <t>G</t>
        </is>
      </c>
      <c r="C3211" s="12" t="inlineStr">
        <is>
          <t>Carbon capture</t>
        </is>
      </c>
      <c r="D3211" s="12" t="inlineStr">
        <is>
          <t>Motor 1 of 4: control / local station</t>
        </is>
      </c>
      <c r="E3211" s="12" t="inlineStr"/>
      <c r="F3211" s="12" t="inlineStr">
        <is>
          <t>CCS MV switchgear building (VFDs)</t>
        </is>
      </c>
      <c r="G3211" s="12" t="inlineStr"/>
      <c r="H3211" s="12" t="inlineStr">
        <is>
          <t>CONDITIONAL: HP export compressor + metering</t>
        </is>
      </c>
      <c r="I3211" s="12" t="inlineStr">
        <is>
          <t>Control</t>
        </is>
      </c>
      <c r="J3211" s="12" t="inlineStr">
        <is>
          <t>ARMOR-X MC-HL 600 V control, Cu #14 AWG (Class I Div 2)</t>
        </is>
      </c>
      <c r="K3211" s="12" t="inlineStr">
        <is>
          <t>CTAX|7/C|14</t>
        </is>
      </c>
      <c r="L3211" s="12" t="inlineStr">
        <is>
          <t>7/C</t>
        </is>
      </c>
      <c r="M3211" s="12" t="inlineStr">
        <is>
          <t>14</t>
        </is>
      </c>
      <c r="N3211" s="12" t="n">
        <v>1</v>
      </c>
      <c r="O3211" s="12" t="n">
        <v>1</v>
      </c>
      <c r="P3211" s="12" t="n"/>
      <c r="Q3211" s="12" t="n"/>
      <c r="R3211" s="12" t="n"/>
      <c r="S3211" s="12" t="inlineStr">
        <is>
          <t>Duct bank</t>
        </is>
      </c>
      <c r="T3211" s="15" t="n">
        <v>303</v>
      </c>
      <c r="U3211" s="15" t="n">
        <v>34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G-C-0127</t>
        </is>
      </c>
      <c r="B3212" s="12" t="inlineStr">
        <is>
          <t>G</t>
        </is>
      </c>
      <c r="C3212" s="12" t="inlineStr">
        <is>
          <t>Carbon capture</t>
        </is>
      </c>
      <c r="D3212" s="12" t="inlineStr">
        <is>
          <t>Motor 2 of 4: control / local station</t>
        </is>
      </c>
      <c r="E3212" s="12" t="inlineStr"/>
      <c r="F3212" s="12" t="inlineStr">
        <is>
          <t>CCS MV switchgear building (VFDs)</t>
        </is>
      </c>
      <c r="G3212" s="12" t="inlineStr"/>
      <c r="H3212" s="12" t="inlineStr">
        <is>
          <t>CONDITIONAL: HP export compressor + metering</t>
        </is>
      </c>
      <c r="I3212" s="12" t="inlineStr">
        <is>
          <t>Control</t>
        </is>
      </c>
      <c r="J3212" s="12" t="inlineStr">
        <is>
          <t>ARMOR-X MC-HL 600 V control, Cu #14 AWG (Class I Div 2)</t>
        </is>
      </c>
      <c r="K3212" s="12" t="inlineStr">
        <is>
          <t>CTAX|7/C|14</t>
        </is>
      </c>
      <c r="L3212" s="12" t="inlineStr">
        <is>
          <t>7/C</t>
        </is>
      </c>
      <c r="M3212" s="12" t="inlineStr">
        <is>
          <t>14</t>
        </is>
      </c>
      <c r="N3212" s="12" t="n">
        <v>1</v>
      </c>
      <c r="O3212" s="12" t="n">
        <v>1</v>
      </c>
      <c r="P3212" s="12" t="n"/>
      <c r="Q3212" s="12" t="n"/>
      <c r="R3212" s="12" t="n"/>
      <c r="S3212" s="12" t="inlineStr">
        <is>
          <t>Duct bank</t>
        </is>
      </c>
      <c r="T3212" s="15" t="n">
        <v>303</v>
      </c>
      <c r="U3212" s="15" t="n">
        <v>34</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G-C-0128</t>
        </is>
      </c>
      <c r="B3213" s="12" t="inlineStr">
        <is>
          <t>G</t>
        </is>
      </c>
      <c r="C3213" s="12" t="inlineStr">
        <is>
          <t>Carbon capture</t>
        </is>
      </c>
      <c r="D3213" s="12" t="inlineStr">
        <is>
          <t>Motor 3 of 4: control / local station</t>
        </is>
      </c>
      <c r="E3213" s="12" t="inlineStr"/>
      <c r="F3213" s="12" t="inlineStr">
        <is>
          <t>CCS MV switchgear building (VFDs)</t>
        </is>
      </c>
      <c r="G3213" s="12" t="inlineStr"/>
      <c r="H3213" s="12" t="inlineStr">
        <is>
          <t>CONDITIONAL: HP export compressor + metering</t>
        </is>
      </c>
      <c r="I3213" s="12" t="inlineStr">
        <is>
          <t>Control</t>
        </is>
      </c>
      <c r="J3213" s="12" t="inlineStr">
        <is>
          <t>ARMOR-X MC-HL 600 V control, Cu #14 AWG (Class I Div 2)</t>
        </is>
      </c>
      <c r="K3213" s="12" t="inlineStr">
        <is>
          <t>CTAX|7/C|14</t>
        </is>
      </c>
      <c r="L3213" s="12" t="inlineStr">
        <is>
          <t>7/C</t>
        </is>
      </c>
      <c r="M3213" s="12" t="inlineStr">
        <is>
          <t>14</t>
        </is>
      </c>
      <c r="N3213" s="12" t="n">
        <v>1</v>
      </c>
      <c r="O3213" s="12" t="n">
        <v>1</v>
      </c>
      <c r="P3213" s="12" t="n"/>
      <c r="Q3213" s="12" t="n"/>
      <c r="R3213" s="12" t="n"/>
      <c r="S3213" s="12" t="inlineStr">
        <is>
          <t>Duct bank</t>
        </is>
      </c>
      <c r="T3213" s="15" t="n">
        <v>303</v>
      </c>
      <c r="U3213" s="15" t="n">
        <v>34</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G-C-0129</t>
        </is>
      </c>
      <c r="B3214" s="12" t="inlineStr">
        <is>
          <t>G</t>
        </is>
      </c>
      <c r="C3214" s="12" t="inlineStr">
        <is>
          <t>Carbon capture</t>
        </is>
      </c>
      <c r="D3214" s="12" t="inlineStr">
        <is>
          <t>Motor 4 of 4: control / local station</t>
        </is>
      </c>
      <c r="E3214" s="12" t="inlineStr"/>
      <c r="F3214" s="12" t="inlineStr">
        <is>
          <t>CCS MV switchgear building (VFDs)</t>
        </is>
      </c>
      <c r="G3214" s="12" t="inlineStr"/>
      <c r="H3214" s="12" t="inlineStr">
        <is>
          <t>CONDITIONAL: HP export compressor + metering</t>
        </is>
      </c>
      <c r="I3214" s="12" t="inlineStr">
        <is>
          <t>Control</t>
        </is>
      </c>
      <c r="J3214" s="12" t="inlineStr">
        <is>
          <t>ARMOR-X MC-HL 600 V control, Cu #14 AWG (Class I Div 2)</t>
        </is>
      </c>
      <c r="K3214" s="12" t="inlineStr">
        <is>
          <t>CTAX|7/C|14</t>
        </is>
      </c>
      <c r="L3214" s="12" t="inlineStr">
        <is>
          <t>7/C</t>
        </is>
      </c>
      <c r="M3214" s="12" t="inlineStr">
        <is>
          <t>14</t>
        </is>
      </c>
      <c r="N3214" s="12" t="n">
        <v>1</v>
      </c>
      <c r="O3214" s="12" t="n">
        <v>1</v>
      </c>
      <c r="P3214" s="12" t="n"/>
      <c r="Q3214" s="12" t="n"/>
      <c r="R3214" s="12" t="n"/>
      <c r="S3214" s="12" t="inlineStr">
        <is>
          <t>Duct bank</t>
        </is>
      </c>
      <c r="T3214" s="15" t="n">
        <v>303</v>
      </c>
      <c r="U3214" s="15" t="n">
        <v>34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G-C-0130</t>
        </is>
      </c>
      <c r="B3215" s="12" t="inlineStr">
        <is>
          <t>G</t>
        </is>
      </c>
      <c r="C3215" s="12" t="inlineStr">
        <is>
          <t>Carbon capture</t>
        </is>
      </c>
      <c r="D3215" s="12" t="inlineStr">
        <is>
          <t>Motor 1 of 2: control / local station</t>
        </is>
      </c>
      <c r="E3215" s="12" t="inlineStr"/>
      <c r="F3215" s="12" t="inlineStr">
        <is>
          <t>CCS MV switchgear building (VFDs)</t>
        </is>
      </c>
      <c r="G3215" s="12" t="inlineStr"/>
      <c r="H3215" s="12" t="inlineStr">
        <is>
          <t>DCC-A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515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G-C-0131</t>
        </is>
      </c>
      <c r="B3216" s="12" t="inlineStr">
        <is>
          <t>G</t>
        </is>
      </c>
      <c r="C3216" s="12" t="inlineStr">
        <is>
          <t>Carbon capture</t>
        </is>
      </c>
      <c r="D3216" s="12" t="inlineStr">
        <is>
          <t>Motor 2 of 2: control / local station</t>
        </is>
      </c>
      <c r="E3216" s="12" t="inlineStr"/>
      <c r="F3216" s="12" t="inlineStr">
        <is>
          <t>CCS MV switchgear building (VFDs)</t>
        </is>
      </c>
      <c r="G3216" s="12" t="inlineStr"/>
      <c r="H3216" s="12" t="inlineStr">
        <is>
          <t>DCC-A pumps + water filter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Tray</t>
        </is>
      </c>
      <c r="T3216" s="15" t="n">
        <v>515</v>
      </c>
      <c r="U3216" s="15" t="n">
        <v>164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G-C-0132</t>
        </is>
      </c>
      <c r="B3217" s="12" t="inlineStr">
        <is>
          <t>G</t>
        </is>
      </c>
      <c r="C3217" s="12" t="inlineStr">
        <is>
          <t>Carbon capture</t>
        </is>
      </c>
      <c r="D3217" s="12" t="inlineStr">
        <is>
          <t>Motor 1 of 2: control / local station</t>
        </is>
      </c>
      <c r="E3217" s="12" t="inlineStr"/>
      <c r="F3217" s="12" t="inlineStr">
        <is>
          <t>CCS MV switchgear building (VFDs)</t>
        </is>
      </c>
      <c r="G3217" s="12" t="inlineStr"/>
      <c r="H3217" s="12" t="inlineStr">
        <is>
          <t>DCC-B pumps + water filter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Tray</t>
        </is>
      </c>
      <c r="T3217" s="15" t="n">
        <v>415</v>
      </c>
      <c r="U3217" s="15" t="n">
        <v>122</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G-C-0133</t>
        </is>
      </c>
      <c r="B3218" s="12" t="inlineStr">
        <is>
          <t>G</t>
        </is>
      </c>
      <c r="C3218" s="12" t="inlineStr">
        <is>
          <t>Carbon capture</t>
        </is>
      </c>
      <c r="D3218" s="12" t="inlineStr">
        <is>
          <t>Motor 2 of 2: control / local station</t>
        </is>
      </c>
      <c r="E3218" s="12" t="inlineStr"/>
      <c r="F3218" s="12" t="inlineStr">
        <is>
          <t>CCS MV switchgear building (VFDs)</t>
        </is>
      </c>
      <c r="G3218" s="12" t="inlineStr"/>
      <c r="H3218" s="12" t="inlineStr">
        <is>
          <t>DCC-B pumps + water filter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Tray</t>
        </is>
      </c>
      <c r="T3218" s="15" t="n">
        <v>415</v>
      </c>
      <c r="U3218" s="15" t="n">
        <v>122</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G-C-0134</t>
        </is>
      </c>
      <c r="B3219" s="12" t="inlineStr">
        <is>
          <t>G</t>
        </is>
      </c>
      <c r="C3219" s="12" t="inlineStr">
        <is>
          <t>Carbon capture</t>
        </is>
      </c>
      <c r="D3219" s="12" t="inlineStr">
        <is>
          <t>Motor 1 of 2: control / local station</t>
        </is>
      </c>
      <c r="E3219" s="12" t="inlineStr"/>
      <c r="F3219" s="12" t="inlineStr">
        <is>
          <t>CCS MV switchgear building (VFDs)</t>
        </is>
      </c>
      <c r="G3219" s="12" t="inlineStr"/>
      <c r="H3219" s="12" t="inlineStr">
        <is>
          <t>DCC-C pumps + water filter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Tray</t>
        </is>
      </c>
      <c r="T3219" s="15" t="n">
        <v>195</v>
      </c>
      <c r="U3219" s="15" t="n">
        <v>164</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G-C-0135</t>
        </is>
      </c>
      <c r="B3220" s="12" t="inlineStr">
        <is>
          <t>G</t>
        </is>
      </c>
      <c r="C3220" s="12" t="inlineStr">
        <is>
          <t>Carbon capture</t>
        </is>
      </c>
      <c r="D3220" s="12" t="inlineStr">
        <is>
          <t>Motor 2 of 2: control / local station</t>
        </is>
      </c>
      <c r="E3220" s="12" t="inlineStr"/>
      <c r="F3220" s="12" t="inlineStr">
        <is>
          <t>CCS MV switchgear building (VFDs)</t>
        </is>
      </c>
      <c r="G3220" s="12" t="inlineStr"/>
      <c r="H3220" s="12" t="inlineStr">
        <is>
          <t>DCC-C pumps + water filter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Tray</t>
        </is>
      </c>
      <c r="T3220" s="15" t="n">
        <v>195</v>
      </c>
      <c r="U3220" s="15" t="n">
        <v>164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G-C-0136</t>
        </is>
      </c>
      <c r="B3221" s="12" t="inlineStr">
        <is>
          <t>G</t>
        </is>
      </c>
      <c r="C3221" s="12" t="inlineStr">
        <is>
          <t>Carbon capture</t>
        </is>
      </c>
      <c r="D3221" s="12" t="inlineStr">
        <is>
          <t>Motor 1 of 2: control / local station</t>
        </is>
      </c>
      <c r="E3221" s="12" t="inlineStr"/>
      <c r="F3221" s="12" t="inlineStr">
        <is>
          <t>CCS MV switchgear building (VFDs)</t>
        </is>
      </c>
      <c r="G3221" s="12" t="inlineStr">
        <is>
          <t>DMP-A</t>
        </is>
      </c>
      <c r="H3221" s="12" t="inlineStr">
        <is>
          <t>DMP-A: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1436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G-C-0137</t>
        </is>
      </c>
      <c r="B3222" s="12" t="inlineStr">
        <is>
          <t>G</t>
        </is>
      </c>
      <c r="C3222" s="12" t="inlineStr">
        <is>
          <t>Carbon capture</t>
        </is>
      </c>
      <c r="D3222" s="12" t="inlineStr">
        <is>
          <t>Motor 2 of 2: control / local station</t>
        </is>
      </c>
      <c r="E3222" s="12" t="inlineStr"/>
      <c r="F3222" s="12" t="inlineStr">
        <is>
          <t>CCS MV switchgear building (VFDs)</t>
        </is>
      </c>
      <c r="G3222" s="12" t="inlineStr">
        <is>
          <t>DMP-A</t>
        </is>
      </c>
      <c r="H3222" s="12" t="inlineStr">
        <is>
          <t>DMP-A: diverter / bypass damper</t>
        </is>
      </c>
      <c r="I3222" s="12" t="inlineStr">
        <is>
          <t>Control</t>
        </is>
      </c>
      <c r="J3222" s="12" t="inlineStr">
        <is>
          <t>Control cable 600 V Type TC-ER, Cu #14 AWG, PVC jacket</t>
        </is>
      </c>
      <c r="K3222" s="12" t="inlineStr">
        <is>
          <t>CT|7/C|14</t>
        </is>
      </c>
      <c r="L3222" s="12" t="inlineStr">
        <is>
          <t>7/C</t>
        </is>
      </c>
      <c r="M3222" s="12" t="inlineStr">
        <is>
          <t>14</t>
        </is>
      </c>
      <c r="N3222" s="12" t="n">
        <v>1</v>
      </c>
      <c r="O3222" s="12" t="n">
        <v>1</v>
      </c>
      <c r="P3222" s="12" t="n"/>
      <c r="Q3222" s="12" t="n"/>
      <c r="R3222" s="12" t="n"/>
      <c r="S3222" s="12" t="inlineStr">
        <is>
          <t>Duct bank</t>
        </is>
      </c>
      <c r="T3222" s="15" t="n">
        <v>1436</v>
      </c>
      <c r="U3222" s="15" t="n">
        <v>124</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G-C-0138</t>
        </is>
      </c>
      <c r="B3223" s="12" t="inlineStr">
        <is>
          <t>G</t>
        </is>
      </c>
      <c r="C3223" s="12" t="inlineStr">
        <is>
          <t>Carbon capture</t>
        </is>
      </c>
      <c r="D3223" s="12" t="inlineStr">
        <is>
          <t>Motor 1 of 2: control / local station</t>
        </is>
      </c>
      <c r="E3223" s="12" t="inlineStr"/>
      <c r="F3223" s="12" t="inlineStr">
        <is>
          <t>CCS MV switchgear building (VFDs)</t>
        </is>
      </c>
      <c r="G3223" s="12" t="inlineStr">
        <is>
          <t>DMP-B</t>
        </is>
      </c>
      <c r="H3223" s="12" t="inlineStr">
        <is>
          <t>DMP-B: diverter / bypass damper</t>
        </is>
      </c>
      <c r="I3223" s="12" t="inlineStr">
        <is>
          <t>Control</t>
        </is>
      </c>
      <c r="J3223" s="12" t="inlineStr">
        <is>
          <t>Control cable 600 V Type TC-ER, Cu #14 AWG, PVC jacket</t>
        </is>
      </c>
      <c r="K3223" s="12" t="inlineStr">
        <is>
          <t>CT|7/C|14</t>
        </is>
      </c>
      <c r="L3223" s="12" t="inlineStr">
        <is>
          <t>7/C</t>
        </is>
      </c>
      <c r="M3223" s="12" t="inlineStr">
        <is>
          <t>14</t>
        </is>
      </c>
      <c r="N3223" s="12" t="n">
        <v>1</v>
      </c>
      <c r="O3223" s="12" t="n">
        <v>1</v>
      </c>
      <c r="P3223" s="12" t="n"/>
      <c r="Q3223" s="12" t="n"/>
      <c r="R3223" s="12" t="n"/>
      <c r="S3223" s="12" t="inlineStr">
        <is>
          <t>Duct bank</t>
        </is>
      </c>
      <c r="T3223" s="15" t="n">
        <v>1280</v>
      </c>
      <c r="U3223" s="15" t="n">
        <v>120</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G-C-0139</t>
        </is>
      </c>
      <c r="B3224" s="12" t="inlineStr">
        <is>
          <t>G</t>
        </is>
      </c>
      <c r="C3224" s="12" t="inlineStr">
        <is>
          <t>Carbon capture</t>
        </is>
      </c>
      <c r="D3224" s="12" t="inlineStr">
        <is>
          <t>Motor 2 of 2: control / local station</t>
        </is>
      </c>
      <c r="E3224" s="12" t="inlineStr"/>
      <c r="F3224" s="12" t="inlineStr">
        <is>
          <t>CCS MV switchgear building (VFDs)</t>
        </is>
      </c>
      <c r="G3224" s="12" t="inlineStr">
        <is>
          <t>DMP-B</t>
        </is>
      </c>
      <c r="H3224" s="12" t="inlineStr">
        <is>
          <t>DMP-B: diverter / bypass damper</t>
        </is>
      </c>
      <c r="I3224" s="12" t="inlineStr">
        <is>
          <t>Control</t>
        </is>
      </c>
      <c r="J3224" s="12" t="inlineStr">
        <is>
          <t>Control cable 600 V Type TC-ER, Cu #14 AWG, PVC jacket</t>
        </is>
      </c>
      <c r="K3224" s="12" t="inlineStr">
        <is>
          <t>CT|7/C|14</t>
        </is>
      </c>
      <c r="L3224" s="12" t="inlineStr">
        <is>
          <t>7/C</t>
        </is>
      </c>
      <c r="M3224" s="12" t="inlineStr">
        <is>
          <t>14</t>
        </is>
      </c>
      <c r="N3224" s="12" t="n">
        <v>1</v>
      </c>
      <c r="O3224" s="12" t="n">
        <v>1</v>
      </c>
      <c r="P3224" s="12" t="n"/>
      <c r="Q3224" s="12" t="n"/>
      <c r="R3224" s="12" t="n"/>
      <c r="S3224" s="12" t="inlineStr">
        <is>
          <t>Duct bank</t>
        </is>
      </c>
      <c r="T3224" s="15" t="n">
        <v>1280</v>
      </c>
      <c r="U3224" s="15" t="n">
        <v>120</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G-C-0140</t>
        </is>
      </c>
      <c r="B3225" s="12" t="inlineStr">
        <is>
          <t>G</t>
        </is>
      </c>
      <c r="C3225" s="12" t="inlineStr">
        <is>
          <t>Carbon capture</t>
        </is>
      </c>
      <c r="D3225" s="12" t="inlineStr">
        <is>
          <t>Motor 1 of 2: control / local station</t>
        </is>
      </c>
      <c r="E3225" s="12" t="inlineStr"/>
      <c r="F3225" s="12" t="inlineStr">
        <is>
          <t>CCS MV switchgear building (VFDs)</t>
        </is>
      </c>
      <c r="G3225" s="12" t="inlineStr">
        <is>
          <t>DMP-C</t>
        </is>
      </c>
      <c r="H3225" s="12" t="inlineStr">
        <is>
          <t>DMP-C: diverter / bypass damper</t>
        </is>
      </c>
      <c r="I3225" s="12" t="inlineStr">
        <is>
          <t>Control</t>
        </is>
      </c>
      <c r="J3225" s="12" t="inlineStr">
        <is>
          <t>Control cable 600 V Type TC-ER, Cu #14 AWG, PVC jacket</t>
        </is>
      </c>
      <c r="K3225" s="12" t="inlineStr">
        <is>
          <t>CT|7/C|14</t>
        </is>
      </c>
      <c r="L3225" s="12" t="inlineStr">
        <is>
          <t>7/C</t>
        </is>
      </c>
      <c r="M3225" s="12" t="inlineStr">
        <is>
          <t>14</t>
        </is>
      </c>
      <c r="N3225" s="12" t="n">
        <v>1</v>
      </c>
      <c r="O3225" s="12" t="n">
        <v>1</v>
      </c>
      <c r="P3225" s="12" t="n"/>
      <c r="Q3225" s="12" t="n"/>
      <c r="R3225" s="12" t="n"/>
      <c r="S3225" s="12" t="inlineStr">
        <is>
          <t>Duct bank</t>
        </is>
      </c>
      <c r="T3225" s="15" t="n">
        <v>1116</v>
      </c>
      <c r="U3225" s="15" t="n">
        <v>124</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G-C-0141</t>
        </is>
      </c>
      <c r="B3226" s="12" t="inlineStr">
        <is>
          <t>G</t>
        </is>
      </c>
      <c r="C3226" s="12" t="inlineStr">
        <is>
          <t>Carbon capture</t>
        </is>
      </c>
      <c r="D3226" s="12" t="inlineStr">
        <is>
          <t>Motor 2 of 2: control / local station</t>
        </is>
      </c>
      <c r="E3226" s="12" t="inlineStr"/>
      <c r="F3226" s="12" t="inlineStr">
        <is>
          <t>CCS MV switchgear building (VFDs)</t>
        </is>
      </c>
      <c r="G3226" s="12" t="inlineStr">
        <is>
          <t>DMP-C</t>
        </is>
      </c>
      <c r="H3226" s="12" t="inlineStr">
        <is>
          <t>DMP-C: diverter / bypass damper</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5" t="n">
        <v>1116</v>
      </c>
      <c r="U3226" s="15" t="n">
        <v>124</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G-C-0142</t>
        </is>
      </c>
      <c r="B3227" s="12" t="inlineStr">
        <is>
          <t>G</t>
        </is>
      </c>
      <c r="C3227" s="12" t="inlineStr">
        <is>
          <t>Carbon capture</t>
        </is>
      </c>
      <c r="D3227" s="12" t="inlineStr">
        <is>
          <t>MOV 1: control</t>
        </is>
      </c>
      <c r="E3227" s="12" t="inlineStr"/>
      <c r="F3227" s="12" t="inlineStr">
        <is>
          <t>CCS MV switchgear building (VFDs)</t>
        </is>
      </c>
      <c r="G3227" s="12" t="inlineStr"/>
      <c r="H3227" s="12" t="inlineStr">
        <is>
          <t>RB-A: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50</v>
      </c>
      <c r="U3227" s="15" t="n">
        <v>37</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G-C-0143</t>
        </is>
      </c>
      <c r="B3228" s="12" t="inlineStr">
        <is>
          <t>G</t>
        </is>
      </c>
      <c r="C3228" s="12" t="inlineStr">
        <is>
          <t>Carbon capture</t>
        </is>
      </c>
      <c r="D3228" s="12" t="inlineStr">
        <is>
          <t>MOV 2: control</t>
        </is>
      </c>
      <c r="E3228" s="12" t="inlineStr"/>
      <c r="F3228" s="12" t="inlineStr">
        <is>
          <t>CCS MV switchgear building (VFDs)</t>
        </is>
      </c>
      <c r="G3228" s="12" t="inlineStr"/>
      <c r="H3228" s="12" t="inlineStr">
        <is>
          <t>RB-A: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50</v>
      </c>
      <c r="U3228" s="15" t="n">
        <v>37</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G-C-0144</t>
        </is>
      </c>
      <c r="B3229" s="12" t="inlineStr">
        <is>
          <t>G</t>
        </is>
      </c>
      <c r="C3229" s="12" t="inlineStr">
        <is>
          <t>Carbon capture</t>
        </is>
      </c>
      <c r="D3229" s="12" t="inlineStr">
        <is>
          <t>MOV 3: control</t>
        </is>
      </c>
      <c r="E3229" s="12" t="inlineStr"/>
      <c r="F3229" s="12" t="inlineStr">
        <is>
          <t>CCS MV switchgear building (VFDs)</t>
        </is>
      </c>
      <c r="G3229" s="12" t="inlineStr"/>
      <c r="H3229" s="12" t="inlineStr">
        <is>
          <t>RB-A: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50</v>
      </c>
      <c r="U3229" s="15" t="n">
        <v>37</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G-C-0145</t>
        </is>
      </c>
      <c r="B3230" s="12" t="inlineStr">
        <is>
          <t>G</t>
        </is>
      </c>
      <c r="C3230" s="12" t="inlineStr">
        <is>
          <t>Carbon capture</t>
        </is>
      </c>
      <c r="D3230" s="12" t="inlineStr">
        <is>
          <t>MOV 4: control</t>
        </is>
      </c>
      <c r="E3230" s="12" t="inlineStr"/>
      <c r="F3230" s="12" t="inlineStr">
        <is>
          <t>CCS MV switchgear building (VFDs)</t>
        </is>
      </c>
      <c r="G3230" s="12" t="inlineStr"/>
      <c r="H3230" s="12" t="inlineStr">
        <is>
          <t>RB-A: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50</v>
      </c>
      <c r="U3230" s="15" t="n">
        <v>37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G-C-0146</t>
        </is>
      </c>
      <c r="B3231" s="12" t="inlineStr">
        <is>
          <t>G</t>
        </is>
      </c>
      <c r="C3231" s="12" t="inlineStr">
        <is>
          <t>Carbon capture</t>
        </is>
      </c>
      <c r="D3231" s="12" t="inlineStr">
        <is>
          <t>MOV 1: control</t>
        </is>
      </c>
      <c r="E3231" s="12" t="inlineStr"/>
      <c r="F3231" s="12" t="inlineStr">
        <is>
          <t>CCS MV switchgear building (VFDs)</t>
        </is>
      </c>
      <c r="G3231" s="12" t="inlineStr"/>
      <c r="H3231" s="12" t="inlineStr">
        <is>
          <t>RB-B: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83</v>
      </c>
      <c r="U3231" s="15" t="n">
        <v>42</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G-C-0147</t>
        </is>
      </c>
      <c r="B3232" s="12" t="inlineStr">
        <is>
          <t>G</t>
        </is>
      </c>
      <c r="C3232" s="12" t="inlineStr">
        <is>
          <t>Carbon capture</t>
        </is>
      </c>
      <c r="D3232" s="12" t="inlineStr">
        <is>
          <t>MOV 2: control</t>
        </is>
      </c>
      <c r="E3232" s="12" t="inlineStr"/>
      <c r="F3232" s="12" t="inlineStr">
        <is>
          <t>CCS MV switchgear building (VFDs)</t>
        </is>
      </c>
      <c r="G3232" s="12" t="inlineStr"/>
      <c r="H3232" s="12" t="inlineStr">
        <is>
          <t>RB-B: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83</v>
      </c>
      <c r="U3232" s="15" t="n">
        <v>42</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G-C-0148</t>
        </is>
      </c>
      <c r="B3233" s="12" t="inlineStr">
        <is>
          <t>G</t>
        </is>
      </c>
      <c r="C3233" s="12" t="inlineStr">
        <is>
          <t>Carbon capture</t>
        </is>
      </c>
      <c r="D3233" s="12" t="inlineStr">
        <is>
          <t>MOV 3: control</t>
        </is>
      </c>
      <c r="E3233" s="12" t="inlineStr"/>
      <c r="F3233" s="12" t="inlineStr">
        <is>
          <t>CCS MV switchgear building (VFDs)</t>
        </is>
      </c>
      <c r="G3233" s="12" t="inlineStr"/>
      <c r="H3233" s="12" t="inlineStr">
        <is>
          <t>RB-B: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83</v>
      </c>
      <c r="U3233" s="15" t="n">
        <v>42</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G-C-0149</t>
        </is>
      </c>
      <c r="B3234" s="12" t="inlineStr">
        <is>
          <t>G</t>
        </is>
      </c>
      <c r="C3234" s="12" t="inlineStr">
        <is>
          <t>Carbon capture</t>
        </is>
      </c>
      <c r="D3234" s="12" t="inlineStr">
        <is>
          <t>MOV 4: control</t>
        </is>
      </c>
      <c r="E3234" s="12" t="inlineStr"/>
      <c r="F3234" s="12" t="inlineStr">
        <is>
          <t>CCS MV switchgear building (VFDs)</t>
        </is>
      </c>
      <c r="G3234" s="12" t="inlineStr"/>
      <c r="H3234" s="12" t="inlineStr">
        <is>
          <t>RB-B: reboiler (LP steam from ST extraction)</t>
        </is>
      </c>
      <c r="I3234" s="12" t="inlineStr">
        <is>
          <t>Control</t>
        </is>
      </c>
      <c r="J3234" s="12" t="inlineStr">
        <is>
          <t>Control cable 600 V Type TC-ER, Cu #14 AWG, PVC jacket</t>
        </is>
      </c>
      <c r="K3234" s="12" t="inlineStr">
        <is>
          <t>CT|12/C|14</t>
        </is>
      </c>
      <c r="L3234" s="12" t="inlineStr">
        <is>
          <t>12/C</t>
        </is>
      </c>
      <c r="M3234" s="12" t="inlineStr">
        <is>
          <t>14</t>
        </is>
      </c>
      <c r="N3234" s="12" t="n">
        <v>1</v>
      </c>
      <c r="O3234" s="12" t="n">
        <v>1</v>
      </c>
      <c r="P3234" s="12" t="n"/>
      <c r="Q3234" s="12" t="n"/>
      <c r="R3234" s="12" t="n"/>
      <c r="S3234" s="12" t="inlineStr">
        <is>
          <t>Duct bank</t>
        </is>
      </c>
      <c r="T3234" s="15" t="n">
        <v>83</v>
      </c>
      <c r="U3234" s="15" t="n">
        <v>42</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G-C-0150</t>
        </is>
      </c>
      <c r="B3235" s="12" t="inlineStr">
        <is>
          <t>G</t>
        </is>
      </c>
      <c r="C3235" s="12" t="inlineStr">
        <is>
          <t>Carbon capture</t>
        </is>
      </c>
      <c r="D3235" s="12" t="inlineStr">
        <is>
          <t>MOV 1: control</t>
        </is>
      </c>
      <c r="E3235" s="12" t="inlineStr"/>
      <c r="F3235" s="12" t="inlineStr">
        <is>
          <t>CCS MV switchgear building (VFDs)</t>
        </is>
      </c>
      <c r="G3235" s="12" t="inlineStr"/>
      <c r="H3235" s="12" t="inlineStr">
        <is>
          <t>RB-C: reboiler (LP steam from ST extraction)</t>
        </is>
      </c>
      <c r="I3235" s="12" t="inlineStr">
        <is>
          <t>Control</t>
        </is>
      </c>
      <c r="J3235" s="12" t="inlineStr">
        <is>
          <t>Control cable 600 V Type TC-ER, Cu #14 AWG, PVC jacket</t>
        </is>
      </c>
      <c r="K3235" s="12" t="inlineStr">
        <is>
          <t>CT|12/C|14</t>
        </is>
      </c>
      <c r="L3235" s="12" t="inlineStr">
        <is>
          <t>12/C</t>
        </is>
      </c>
      <c r="M3235" s="12" t="inlineStr">
        <is>
          <t>14</t>
        </is>
      </c>
      <c r="N3235" s="12" t="n">
        <v>1</v>
      </c>
      <c r="O3235" s="12" t="n">
        <v>1</v>
      </c>
      <c r="P3235" s="12" t="n"/>
      <c r="Q3235" s="12" t="n"/>
      <c r="R3235" s="12" t="n"/>
      <c r="S3235" s="12" t="inlineStr">
        <is>
          <t>Duct bank</t>
        </is>
      </c>
      <c r="T3235" s="15" t="n">
        <v>45</v>
      </c>
      <c r="U3235" s="15" t="n">
        <v>47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G-C-0151</t>
        </is>
      </c>
      <c r="B3236" s="12" t="inlineStr">
        <is>
          <t>G</t>
        </is>
      </c>
      <c r="C3236" s="12" t="inlineStr">
        <is>
          <t>Carbon capture</t>
        </is>
      </c>
      <c r="D3236" s="12" t="inlineStr">
        <is>
          <t>MOV 2: control</t>
        </is>
      </c>
      <c r="E3236" s="12" t="inlineStr"/>
      <c r="F3236" s="12" t="inlineStr">
        <is>
          <t>CCS MV switchgear building (VFDs)</t>
        </is>
      </c>
      <c r="G3236" s="12" t="inlineStr"/>
      <c r="H3236" s="12" t="inlineStr">
        <is>
          <t>RB-C: reboiler (LP steam from ST extraction)</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45</v>
      </c>
      <c r="U3236" s="15" t="n">
        <v>47</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G-C-0152</t>
        </is>
      </c>
      <c r="B3237" s="12" t="inlineStr">
        <is>
          <t>G</t>
        </is>
      </c>
      <c r="C3237" s="12" t="inlineStr">
        <is>
          <t>Carbon capture</t>
        </is>
      </c>
      <c r="D3237" s="12" t="inlineStr">
        <is>
          <t>MOV 3: control</t>
        </is>
      </c>
      <c r="E3237" s="12" t="inlineStr"/>
      <c r="F3237" s="12" t="inlineStr">
        <is>
          <t>CCS MV switchgear building (VFDs)</t>
        </is>
      </c>
      <c r="G3237" s="12" t="inlineStr"/>
      <c r="H3237" s="12" t="inlineStr">
        <is>
          <t>RB-C: reboiler (LP steam from ST extraction)</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45</v>
      </c>
      <c r="U3237" s="15" t="n">
        <v>47</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G-C-0153</t>
        </is>
      </c>
      <c r="B3238" s="12" t="inlineStr">
        <is>
          <t>G</t>
        </is>
      </c>
      <c r="C3238" s="12" t="inlineStr">
        <is>
          <t>Carbon capture</t>
        </is>
      </c>
      <c r="D3238" s="12" t="inlineStr">
        <is>
          <t>MOV 4: control</t>
        </is>
      </c>
      <c r="E3238" s="12" t="inlineStr"/>
      <c r="F3238" s="12" t="inlineStr">
        <is>
          <t>CCS MV switchgear building (VFDs)</t>
        </is>
      </c>
      <c r="G3238" s="12" t="inlineStr"/>
      <c r="H3238" s="12" t="inlineStr">
        <is>
          <t>RB-C: reboiler (LP steam from ST extraction)</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45</v>
      </c>
      <c r="U3238" s="15" t="n">
        <v>47</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G-C-0154</t>
        </is>
      </c>
      <c r="B3239" s="12" t="inlineStr">
        <is>
          <t>G</t>
        </is>
      </c>
      <c r="C3239" s="12" t="inlineStr">
        <is>
          <t>Carbon capture</t>
        </is>
      </c>
      <c r="D3239" s="12" t="inlineStr">
        <is>
          <t>Motor 1 of 2: control / local station</t>
        </is>
      </c>
      <c r="E3239" s="12" t="inlineStr"/>
      <c r="F3239" s="12" t="inlineStr">
        <is>
          <t>CCS MV switchgear building (VFDs)</t>
        </is>
      </c>
      <c r="G3239" s="12" t="inlineStr"/>
      <c r="H3239" s="12" t="inlineStr">
        <is>
          <t>Reclaimer (thermal, intermittent)</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Duct bank</t>
        </is>
      </c>
      <c r="T3239" s="15" t="n">
        <v>45</v>
      </c>
      <c r="U3239" s="15" t="n">
        <v>57</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G-C-0155</t>
        </is>
      </c>
      <c r="B3240" s="12" t="inlineStr">
        <is>
          <t>G</t>
        </is>
      </c>
      <c r="C3240" s="12" t="inlineStr">
        <is>
          <t>Carbon capture</t>
        </is>
      </c>
      <c r="D3240" s="12" t="inlineStr">
        <is>
          <t>Motor 2 of 2: control / local station</t>
        </is>
      </c>
      <c r="E3240" s="12" t="inlineStr"/>
      <c r="F3240" s="12" t="inlineStr">
        <is>
          <t>CCS MV switchgear building (VFDs)</t>
        </is>
      </c>
      <c r="G3240" s="12" t="inlineStr"/>
      <c r="H3240" s="12" t="inlineStr">
        <is>
          <t>Reclaimer (thermal, intermittent)</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Duct bank</t>
        </is>
      </c>
      <c r="T3240" s="15" t="n">
        <v>45</v>
      </c>
      <c r="U3240" s="15" t="n">
        <v>57</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G-C-0156</t>
        </is>
      </c>
      <c r="B3241" s="12" t="inlineStr">
        <is>
          <t>G</t>
        </is>
      </c>
      <c r="C3241" s="12" t="inlineStr">
        <is>
          <t>Carbon capture</t>
        </is>
      </c>
      <c r="D3241" s="12" t="inlineStr">
        <is>
          <t>MOV 1: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G-C-0157</t>
        </is>
      </c>
      <c r="B3242" s="12" t="inlineStr">
        <is>
          <t>G</t>
        </is>
      </c>
      <c r="C3242" s="12" t="inlineStr">
        <is>
          <t>Carbon capture</t>
        </is>
      </c>
      <c r="D3242" s="12" t="inlineStr">
        <is>
          <t>MOV 2: control</t>
        </is>
      </c>
      <c r="E3242" s="12" t="inlineStr"/>
      <c r="F3242" s="12" t="inlineStr">
        <is>
          <t>CCS MV switchgear building (VFDs)</t>
        </is>
      </c>
      <c r="G3242" s="12" t="inlineStr">
        <is>
          <t>STR-A</t>
        </is>
      </c>
      <c r="H3242" s="12" t="inlineStr">
        <is>
          <t>STR-A: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G-C-0158</t>
        </is>
      </c>
      <c r="B3243" s="12" t="inlineStr">
        <is>
          <t>G</t>
        </is>
      </c>
      <c r="C3243" s="12" t="inlineStr">
        <is>
          <t>Carbon capture</t>
        </is>
      </c>
      <c r="D3243" s="12" t="inlineStr">
        <is>
          <t>MOV 3: control</t>
        </is>
      </c>
      <c r="E3243" s="12" t="inlineStr"/>
      <c r="F3243" s="12" t="inlineStr">
        <is>
          <t>CCS MV switchgear building (VFDs)</t>
        </is>
      </c>
      <c r="G3243" s="12" t="inlineStr">
        <is>
          <t>STR-A</t>
        </is>
      </c>
      <c r="H3243" s="12" t="inlineStr">
        <is>
          <t>STR-A: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G-C-0159</t>
        </is>
      </c>
      <c r="B3244" s="12" t="inlineStr">
        <is>
          <t>G</t>
        </is>
      </c>
      <c r="C3244" s="12" t="inlineStr">
        <is>
          <t>Carbon capture</t>
        </is>
      </c>
      <c r="D3244" s="12" t="inlineStr">
        <is>
          <t>MOV 4: control</t>
        </is>
      </c>
      <c r="E3244" s="12" t="inlineStr"/>
      <c r="F3244" s="12" t="inlineStr">
        <is>
          <t>CCS MV switchgear building (VFDs)</t>
        </is>
      </c>
      <c r="G3244" s="12" t="inlineStr">
        <is>
          <t>STR-A</t>
        </is>
      </c>
      <c r="H3244" s="12" t="inlineStr">
        <is>
          <t>STR-A: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G-C-0160</t>
        </is>
      </c>
      <c r="B3245" s="12" t="inlineStr">
        <is>
          <t>G</t>
        </is>
      </c>
      <c r="C3245" s="12" t="inlineStr">
        <is>
          <t>Carbon capture</t>
        </is>
      </c>
      <c r="D3245" s="12" t="inlineStr">
        <is>
          <t>MOV 5: control</t>
        </is>
      </c>
      <c r="E3245" s="12" t="inlineStr"/>
      <c r="F3245" s="12" t="inlineStr">
        <is>
          <t>CCS MV switchgear building (VFDs)</t>
        </is>
      </c>
      <c r="G3245" s="12" t="inlineStr">
        <is>
          <t>STR-A</t>
        </is>
      </c>
      <c r="H3245" s="12" t="inlineStr">
        <is>
          <t>STR-A: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G-C-0161</t>
        </is>
      </c>
      <c r="B3246" s="12" t="inlineStr">
        <is>
          <t>G</t>
        </is>
      </c>
      <c r="C3246" s="12" t="inlineStr">
        <is>
          <t>Carbon capture</t>
        </is>
      </c>
      <c r="D3246" s="12" t="inlineStr">
        <is>
          <t>MOV 6: control</t>
        </is>
      </c>
      <c r="E3246" s="12" t="inlineStr"/>
      <c r="F3246" s="12" t="inlineStr">
        <is>
          <t>CCS MV switchgear building (VFDs)</t>
        </is>
      </c>
      <c r="G3246" s="12" t="inlineStr">
        <is>
          <t>STR-A</t>
        </is>
      </c>
      <c r="H3246" s="12" t="inlineStr">
        <is>
          <t>STR-A: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G-C-0162</t>
        </is>
      </c>
      <c r="B3247" s="12" t="inlineStr">
        <is>
          <t>G</t>
        </is>
      </c>
      <c r="C3247" s="12" t="inlineStr">
        <is>
          <t>Carbon capture</t>
        </is>
      </c>
      <c r="D3247" s="12" t="inlineStr">
        <is>
          <t>MOV 1: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G-C-0163</t>
        </is>
      </c>
      <c r="B3248" s="12" t="inlineStr">
        <is>
          <t>G</t>
        </is>
      </c>
      <c r="C3248" s="12" t="inlineStr">
        <is>
          <t>Carbon capture</t>
        </is>
      </c>
      <c r="D3248" s="12" t="inlineStr">
        <is>
          <t>MOV 2: control</t>
        </is>
      </c>
      <c r="E3248" s="12" t="inlineStr"/>
      <c r="F3248" s="12" t="inlineStr">
        <is>
          <t>CCS MV switchgear building (VFDs)</t>
        </is>
      </c>
      <c r="G3248" s="12" t="inlineStr">
        <is>
          <t>STR-B</t>
        </is>
      </c>
      <c r="H3248" s="12" t="inlineStr">
        <is>
          <t>STR-B: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146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G-C-0164</t>
        </is>
      </c>
      <c r="B3249" s="12" t="inlineStr">
        <is>
          <t>G</t>
        </is>
      </c>
      <c r="C3249" s="12" t="inlineStr">
        <is>
          <t>Carbon capture</t>
        </is>
      </c>
      <c r="D3249" s="12" t="inlineStr">
        <is>
          <t>MOV 3: control</t>
        </is>
      </c>
      <c r="E3249" s="12" t="inlineStr"/>
      <c r="F3249" s="12" t="inlineStr">
        <is>
          <t>CCS MV switchgear building (VFDs)</t>
        </is>
      </c>
      <c r="G3249" s="12" t="inlineStr">
        <is>
          <t>STR-B</t>
        </is>
      </c>
      <c r="H3249" s="12" t="inlineStr">
        <is>
          <t>STR-B: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146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G-C-0165</t>
        </is>
      </c>
      <c r="B3250" s="12" t="inlineStr">
        <is>
          <t>G</t>
        </is>
      </c>
      <c r="C3250" s="12" t="inlineStr">
        <is>
          <t>Carbon capture</t>
        </is>
      </c>
      <c r="D3250" s="12" t="inlineStr">
        <is>
          <t>MOV 4: control</t>
        </is>
      </c>
      <c r="E3250" s="12" t="inlineStr"/>
      <c r="F3250" s="12" t="inlineStr">
        <is>
          <t>CCS MV switchgear building (VFDs)</t>
        </is>
      </c>
      <c r="G3250" s="12" t="inlineStr">
        <is>
          <t>STR-B</t>
        </is>
      </c>
      <c r="H3250" s="12" t="inlineStr">
        <is>
          <t>STR-B: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146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G-C-0166</t>
        </is>
      </c>
      <c r="B3251" s="12" t="inlineStr">
        <is>
          <t>G</t>
        </is>
      </c>
      <c r="C3251" s="12" t="inlineStr">
        <is>
          <t>Carbon capture</t>
        </is>
      </c>
      <c r="D3251" s="12" t="inlineStr">
        <is>
          <t>MOV 5: control</t>
        </is>
      </c>
      <c r="E3251" s="12" t="inlineStr"/>
      <c r="F3251" s="12" t="inlineStr">
        <is>
          <t>CCS MV switchgear building (VFDs)</t>
        </is>
      </c>
      <c r="G3251" s="12" t="inlineStr">
        <is>
          <t>STR-B</t>
        </is>
      </c>
      <c r="H3251" s="12" t="inlineStr">
        <is>
          <t>STR-B: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146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G-C-0167</t>
        </is>
      </c>
      <c r="B3252" s="12" t="inlineStr">
        <is>
          <t>G</t>
        </is>
      </c>
      <c r="C3252" s="12" t="inlineStr">
        <is>
          <t>Carbon capture</t>
        </is>
      </c>
      <c r="D3252" s="12" t="inlineStr">
        <is>
          <t>MOV 6: control</t>
        </is>
      </c>
      <c r="E3252" s="12" t="inlineStr"/>
      <c r="F3252" s="12" t="inlineStr">
        <is>
          <t>CCS MV switchgear building (VFDs)</t>
        </is>
      </c>
      <c r="G3252" s="12" t="inlineStr">
        <is>
          <t>STR-B</t>
        </is>
      </c>
      <c r="H3252" s="12" t="inlineStr">
        <is>
          <t>STR-B: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146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G-C-0168</t>
        </is>
      </c>
      <c r="B3253" s="12" t="inlineStr">
        <is>
          <t>G</t>
        </is>
      </c>
      <c r="C3253" s="12" t="inlineStr">
        <is>
          <t>Carbon capture</t>
        </is>
      </c>
      <c r="D3253" s="12" t="inlineStr">
        <is>
          <t>MOV 1: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G-C-0169</t>
        </is>
      </c>
      <c r="B3254" s="12" t="inlineStr">
        <is>
          <t>G</t>
        </is>
      </c>
      <c r="C3254" s="12" t="inlineStr">
        <is>
          <t>Carbon capture</t>
        </is>
      </c>
      <c r="D3254" s="12" t="inlineStr">
        <is>
          <t>MOV 2: control</t>
        </is>
      </c>
      <c r="E3254" s="12" t="inlineStr"/>
      <c r="F3254" s="12" t="inlineStr">
        <is>
          <t>CCS MV switchgear building (VFDs)</t>
        </is>
      </c>
      <c r="G3254" s="12" t="inlineStr">
        <is>
          <t>STR-C</t>
        </is>
      </c>
      <c r="H3254" s="12" t="inlineStr">
        <is>
          <t>STR-C: stripper / regenerator (45 ft dia x 207 ft)</t>
        </is>
      </c>
      <c r="I3254" s="12" t="inlineStr">
        <is>
          <t>Control</t>
        </is>
      </c>
      <c r="J3254" s="12" t="inlineStr">
        <is>
          <t>Control cable 600 V Type TC-ER, Cu #14 AWG, PVC jacket</t>
        </is>
      </c>
      <c r="K3254" s="12" t="inlineStr">
        <is>
          <t>CT|12/C|14</t>
        </is>
      </c>
      <c r="L3254" s="12" t="inlineStr">
        <is>
          <t>12/C</t>
        </is>
      </c>
      <c r="M3254" s="12" t="inlineStr">
        <is>
          <t>14</t>
        </is>
      </c>
      <c r="N3254" s="12" t="n">
        <v>1</v>
      </c>
      <c r="O3254" s="12" t="n">
        <v>1</v>
      </c>
      <c r="P3254" s="12" t="n"/>
      <c r="Q3254" s="12" t="n"/>
      <c r="R3254" s="12" t="n"/>
      <c r="S3254" s="12" t="inlineStr">
        <is>
          <t>Duct bank</t>
        </is>
      </c>
      <c r="T3254" s="15" t="n">
        <v>196</v>
      </c>
      <c r="U3254" s="15" t="n">
        <v>36</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G-C-0170</t>
        </is>
      </c>
      <c r="B3255" s="12" t="inlineStr">
        <is>
          <t>G</t>
        </is>
      </c>
      <c r="C3255" s="12" t="inlineStr">
        <is>
          <t>Carbon capture</t>
        </is>
      </c>
      <c r="D3255" s="12" t="inlineStr">
        <is>
          <t>MOV 3: control</t>
        </is>
      </c>
      <c r="E3255" s="12" t="inlineStr"/>
      <c r="F3255" s="12" t="inlineStr">
        <is>
          <t>CCS MV switchgear building (VFDs)</t>
        </is>
      </c>
      <c r="G3255" s="12" t="inlineStr">
        <is>
          <t>STR-C</t>
        </is>
      </c>
      <c r="H3255" s="12" t="inlineStr">
        <is>
          <t>STR-C: stripper / regenerator (45 ft dia x 207 ft)</t>
        </is>
      </c>
      <c r="I3255" s="12" t="inlineStr">
        <is>
          <t>Control</t>
        </is>
      </c>
      <c r="J3255" s="12" t="inlineStr">
        <is>
          <t>Control cable 600 V Type TC-ER, Cu #14 AWG, PVC jacket</t>
        </is>
      </c>
      <c r="K3255" s="12" t="inlineStr">
        <is>
          <t>CT|12/C|14</t>
        </is>
      </c>
      <c r="L3255" s="12" t="inlineStr">
        <is>
          <t>12/C</t>
        </is>
      </c>
      <c r="M3255" s="12" t="inlineStr">
        <is>
          <t>14</t>
        </is>
      </c>
      <c r="N3255" s="12" t="n">
        <v>1</v>
      </c>
      <c r="O3255" s="12" t="n">
        <v>1</v>
      </c>
      <c r="P3255" s="12" t="n"/>
      <c r="Q3255" s="12" t="n"/>
      <c r="R3255" s="12" t="n"/>
      <c r="S3255" s="12" t="inlineStr">
        <is>
          <t>Duct bank</t>
        </is>
      </c>
      <c r="T3255" s="15" t="n">
        <v>196</v>
      </c>
      <c r="U3255" s="15" t="n">
        <v>36</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G-C-0171</t>
        </is>
      </c>
      <c r="B3256" s="12" t="inlineStr">
        <is>
          <t>G</t>
        </is>
      </c>
      <c r="C3256" s="12" t="inlineStr">
        <is>
          <t>Carbon capture</t>
        </is>
      </c>
      <c r="D3256" s="12" t="inlineStr">
        <is>
          <t>MOV 4: control</t>
        </is>
      </c>
      <c r="E3256" s="12" t="inlineStr"/>
      <c r="F3256" s="12" t="inlineStr">
        <is>
          <t>CCS MV switchgear building (VFDs)</t>
        </is>
      </c>
      <c r="G3256" s="12" t="inlineStr">
        <is>
          <t>STR-C</t>
        </is>
      </c>
      <c r="H3256" s="12" t="inlineStr">
        <is>
          <t>STR-C: stripper / regenerator (45 ft dia x 207 ft)</t>
        </is>
      </c>
      <c r="I3256" s="12" t="inlineStr">
        <is>
          <t>Control</t>
        </is>
      </c>
      <c r="J3256" s="12" t="inlineStr">
        <is>
          <t>Control cable 600 V Type TC-ER, Cu #14 AWG, PVC jacket</t>
        </is>
      </c>
      <c r="K3256" s="12" t="inlineStr">
        <is>
          <t>CT|12/C|14</t>
        </is>
      </c>
      <c r="L3256" s="12" t="inlineStr">
        <is>
          <t>12/C</t>
        </is>
      </c>
      <c r="M3256" s="12" t="inlineStr">
        <is>
          <t>14</t>
        </is>
      </c>
      <c r="N3256" s="12" t="n">
        <v>1</v>
      </c>
      <c r="O3256" s="12" t="n">
        <v>1</v>
      </c>
      <c r="P3256" s="12" t="n"/>
      <c r="Q3256" s="12" t="n"/>
      <c r="R3256" s="12" t="n"/>
      <c r="S3256" s="12" t="inlineStr">
        <is>
          <t>Duct bank</t>
        </is>
      </c>
      <c r="T3256" s="15" t="n">
        <v>196</v>
      </c>
      <c r="U3256" s="15" t="n">
        <v>36</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G-C-0172</t>
        </is>
      </c>
      <c r="B3257" s="12" t="inlineStr">
        <is>
          <t>G</t>
        </is>
      </c>
      <c r="C3257" s="12" t="inlineStr">
        <is>
          <t>Carbon capture</t>
        </is>
      </c>
      <c r="D3257" s="12" t="inlineStr">
        <is>
          <t>MOV 5: control</t>
        </is>
      </c>
      <c r="E3257" s="12" t="inlineStr"/>
      <c r="F3257" s="12" t="inlineStr">
        <is>
          <t>CCS MV switchgear building (VFDs)</t>
        </is>
      </c>
      <c r="G3257" s="12" t="inlineStr">
        <is>
          <t>STR-C</t>
        </is>
      </c>
      <c r="H3257" s="12" t="inlineStr">
        <is>
          <t>STR-C: stripper / regenerator (45 ft dia x 207 ft)</t>
        </is>
      </c>
      <c r="I3257" s="12" t="inlineStr">
        <is>
          <t>Control</t>
        </is>
      </c>
      <c r="J3257" s="12" t="inlineStr">
        <is>
          <t>Control cable 600 V Type TC-ER, Cu #14 AWG, PVC jacket</t>
        </is>
      </c>
      <c r="K3257" s="12" t="inlineStr">
        <is>
          <t>CT|12/C|14</t>
        </is>
      </c>
      <c r="L3257" s="12" t="inlineStr">
        <is>
          <t>12/C</t>
        </is>
      </c>
      <c r="M3257" s="12" t="inlineStr">
        <is>
          <t>14</t>
        </is>
      </c>
      <c r="N3257" s="12" t="n">
        <v>1</v>
      </c>
      <c r="O3257" s="12" t="n">
        <v>1</v>
      </c>
      <c r="P3257" s="12" t="n"/>
      <c r="Q3257" s="12" t="n"/>
      <c r="R3257" s="12" t="n"/>
      <c r="S3257" s="12" t="inlineStr">
        <is>
          <t>Duct bank</t>
        </is>
      </c>
      <c r="T3257" s="15" t="n">
        <v>196</v>
      </c>
      <c r="U3257" s="15" t="n">
        <v>36</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G-C-0173</t>
        </is>
      </c>
      <c r="B3258" s="12" t="inlineStr">
        <is>
          <t>G</t>
        </is>
      </c>
      <c r="C3258" s="12" t="inlineStr">
        <is>
          <t>Carbon capture</t>
        </is>
      </c>
      <c r="D3258" s="12" t="inlineStr">
        <is>
          <t>MOV 6: control</t>
        </is>
      </c>
      <c r="E3258" s="12" t="inlineStr"/>
      <c r="F3258" s="12" t="inlineStr">
        <is>
          <t>CCS MV switchgear building (VFDs)</t>
        </is>
      </c>
      <c r="G3258" s="12" t="inlineStr">
        <is>
          <t>STR-C</t>
        </is>
      </c>
      <c r="H3258" s="12" t="inlineStr">
        <is>
          <t>STR-C: stripper / regenerator (45 ft dia x 207 ft)</t>
        </is>
      </c>
      <c r="I3258" s="12" t="inlineStr">
        <is>
          <t>Control</t>
        </is>
      </c>
      <c r="J3258" s="12" t="inlineStr">
        <is>
          <t>Control cable 600 V Type TC-ER, Cu #14 AWG, PVC jacket</t>
        </is>
      </c>
      <c r="K3258" s="12" t="inlineStr">
        <is>
          <t>CT|12/C|14</t>
        </is>
      </c>
      <c r="L3258" s="12" t="inlineStr">
        <is>
          <t>12/C</t>
        </is>
      </c>
      <c r="M3258" s="12" t="inlineStr">
        <is>
          <t>14</t>
        </is>
      </c>
      <c r="N3258" s="12" t="n">
        <v>1</v>
      </c>
      <c r="O3258" s="12" t="n">
        <v>1</v>
      </c>
      <c r="P3258" s="12" t="n"/>
      <c r="Q3258" s="12" t="n"/>
      <c r="R3258" s="12" t="n"/>
      <c r="S3258" s="12" t="inlineStr">
        <is>
          <t>Duct bank</t>
        </is>
      </c>
      <c r="T3258" s="15" t="n">
        <v>196</v>
      </c>
      <c r="U3258" s="15" t="n">
        <v>36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G-C-0174</t>
        </is>
      </c>
      <c r="B3259" s="12" t="inlineStr">
        <is>
          <t>G</t>
        </is>
      </c>
      <c r="C3259" s="12" t="inlineStr">
        <is>
          <t>Carbon capture</t>
        </is>
      </c>
      <c r="D3259" s="12" t="inlineStr">
        <is>
          <t>Motor 1 of 4: control / local station</t>
        </is>
      </c>
      <c r="E3259" s="12" t="inlineStr"/>
      <c r="F3259" s="12" t="inlineStr">
        <is>
          <t>CCS MV switchgear building (VFDs)</t>
        </is>
      </c>
      <c r="G3259" s="12" t="inlineStr"/>
      <c r="H3259" s="12" t="inlineStr">
        <is>
          <t>Solvent + NaOH storage</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Duct bank</t>
        </is>
      </c>
      <c r="T3259" s="15" t="n">
        <v>250</v>
      </c>
      <c r="U3259" s="15" t="n">
        <v>37</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G-C-0175</t>
        </is>
      </c>
      <c r="B3260" s="12" t="inlineStr">
        <is>
          <t>G</t>
        </is>
      </c>
      <c r="C3260" s="12" t="inlineStr">
        <is>
          <t>Carbon capture</t>
        </is>
      </c>
      <c r="D3260" s="12" t="inlineStr">
        <is>
          <t>Motor 2 of 4: control / local station</t>
        </is>
      </c>
      <c r="E3260" s="12" t="inlineStr"/>
      <c r="F3260" s="12" t="inlineStr">
        <is>
          <t>CCS MV switchgear building (VFDs)</t>
        </is>
      </c>
      <c r="G3260" s="12" t="inlineStr"/>
      <c r="H3260" s="12" t="inlineStr">
        <is>
          <t>Solvent + NaOH storage</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Duct bank</t>
        </is>
      </c>
      <c r="T3260" s="15" t="n">
        <v>250</v>
      </c>
      <c r="U3260" s="15" t="n">
        <v>37</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G-C-0176</t>
        </is>
      </c>
      <c r="B3261" s="12" t="inlineStr">
        <is>
          <t>G</t>
        </is>
      </c>
      <c r="C3261" s="12" t="inlineStr">
        <is>
          <t>Carbon capture</t>
        </is>
      </c>
      <c r="D3261" s="12" t="inlineStr">
        <is>
          <t>Motor 3 of 4: control / local station</t>
        </is>
      </c>
      <c r="E3261" s="12" t="inlineStr"/>
      <c r="F3261" s="12" t="inlineStr">
        <is>
          <t>CCS MV switchgear building (VFDs)</t>
        </is>
      </c>
      <c r="G3261" s="12" t="inlineStr"/>
      <c r="H3261" s="12" t="inlineStr">
        <is>
          <t>Solvent + NaOH storage</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Duct bank</t>
        </is>
      </c>
      <c r="T3261" s="15" t="n">
        <v>250</v>
      </c>
      <c r="U3261" s="15" t="n">
        <v>37</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G-C-0177</t>
        </is>
      </c>
      <c r="B3262" s="12" t="inlineStr">
        <is>
          <t>G</t>
        </is>
      </c>
      <c r="C3262" s="12" t="inlineStr">
        <is>
          <t>Carbon capture</t>
        </is>
      </c>
      <c r="D3262" s="12" t="inlineStr">
        <is>
          <t>Motor 4 of 4: control / local station</t>
        </is>
      </c>
      <c r="E3262" s="12" t="inlineStr"/>
      <c r="F3262" s="12" t="inlineStr">
        <is>
          <t>CCS MV switchgear building (VFDs)</t>
        </is>
      </c>
      <c r="G3262" s="12" t="inlineStr"/>
      <c r="H3262" s="12" t="inlineStr">
        <is>
          <t>Solvent + NaOH storage</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Duct bank</t>
        </is>
      </c>
      <c r="T3262" s="15" t="n">
        <v>250</v>
      </c>
      <c r="U3262" s="15" t="n">
        <v>37</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G-C-0178</t>
        </is>
      </c>
      <c r="B3263" s="12" t="inlineStr">
        <is>
          <t>G</t>
        </is>
      </c>
      <c r="C3263" s="12" t="inlineStr">
        <is>
          <t>Carbon capture</t>
        </is>
      </c>
      <c r="D3263" s="12" t="inlineStr">
        <is>
          <t>Motor 1 of 2: control / local station</t>
        </is>
      </c>
      <c r="E3263" s="12" t="inlineStr"/>
      <c r="F3263" s="12" t="inlineStr">
        <is>
          <t>CCS MV switchgear building (VFDs)</t>
        </is>
      </c>
      <c r="G3263" s="12" t="inlineStr"/>
      <c r="H3263" s="12" t="inlineStr">
        <is>
          <t>Water-wash pumps A</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465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G-C-0179</t>
        </is>
      </c>
      <c r="B3264" s="12" t="inlineStr">
        <is>
          <t>G</t>
        </is>
      </c>
      <c r="C3264" s="12" t="inlineStr">
        <is>
          <t>Carbon capture</t>
        </is>
      </c>
      <c r="D3264" s="12" t="inlineStr">
        <is>
          <t>Motor 2 of 2: control / local station</t>
        </is>
      </c>
      <c r="E3264" s="12" t="inlineStr"/>
      <c r="F3264" s="12" t="inlineStr">
        <is>
          <t>CCS MV switchgear building (VFDs)</t>
        </is>
      </c>
      <c r="G3264" s="12" t="inlineStr"/>
      <c r="H3264" s="12" t="inlineStr">
        <is>
          <t>Water-wash pumps A</t>
        </is>
      </c>
      <c r="I3264" s="12" t="inlineStr">
        <is>
          <t>Control</t>
        </is>
      </c>
      <c r="J3264" s="12" t="inlineStr">
        <is>
          <t>Control cable 600 V Type TC-ER, Cu #14 AWG, PVC jacket</t>
        </is>
      </c>
      <c r="K3264" s="12" t="inlineStr">
        <is>
          <t>CT|7/C|14</t>
        </is>
      </c>
      <c r="L3264" s="12" t="inlineStr">
        <is>
          <t>7/C</t>
        </is>
      </c>
      <c r="M3264" s="12" t="inlineStr">
        <is>
          <t>14</t>
        </is>
      </c>
      <c r="N3264" s="12" t="n">
        <v>1</v>
      </c>
      <c r="O3264" s="12" t="n">
        <v>1</v>
      </c>
      <c r="P3264" s="12" t="n"/>
      <c r="Q3264" s="12" t="n"/>
      <c r="R3264" s="12" t="n"/>
      <c r="S3264" s="12" t="inlineStr">
        <is>
          <t>Tray</t>
        </is>
      </c>
      <c r="T3264" s="15" t="n">
        <v>465</v>
      </c>
      <c r="U3264" s="15" t="n">
        <v>96</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G-C-0180</t>
        </is>
      </c>
      <c r="B3265" s="12" t="inlineStr">
        <is>
          <t>G</t>
        </is>
      </c>
      <c r="C3265" s="12" t="inlineStr">
        <is>
          <t>Carbon capture</t>
        </is>
      </c>
      <c r="D3265" s="12" t="inlineStr">
        <is>
          <t>Motor 1 of 2: control / local station</t>
        </is>
      </c>
      <c r="E3265" s="12" t="inlineStr"/>
      <c r="F3265" s="12" t="inlineStr">
        <is>
          <t>CCS MV switchgear building (VFDs)</t>
        </is>
      </c>
      <c r="G3265" s="12" t="inlineStr"/>
      <c r="H3265" s="12" t="inlineStr">
        <is>
          <t>Water-wash pumps B</t>
        </is>
      </c>
      <c r="I3265" s="12" t="inlineStr">
        <is>
          <t>Control</t>
        </is>
      </c>
      <c r="J3265" s="12" t="inlineStr">
        <is>
          <t>Control cable 600 V Type TC-ER, Cu #14 AWG, PVC jacket</t>
        </is>
      </c>
      <c r="K3265" s="12" t="inlineStr">
        <is>
          <t>CT|7/C|14</t>
        </is>
      </c>
      <c r="L3265" s="12" t="inlineStr">
        <is>
          <t>7/C</t>
        </is>
      </c>
      <c r="M3265" s="12" t="inlineStr">
        <is>
          <t>14</t>
        </is>
      </c>
      <c r="N3265" s="12" t="n">
        <v>1</v>
      </c>
      <c r="O3265" s="12" t="n">
        <v>1</v>
      </c>
      <c r="P3265" s="12" t="n"/>
      <c r="Q3265" s="12" t="n"/>
      <c r="R3265" s="12" t="n"/>
      <c r="S3265" s="12" t="inlineStr">
        <is>
          <t>Tray</t>
        </is>
      </c>
      <c r="T3265" s="15" t="n">
        <v>305</v>
      </c>
      <c r="U3265" s="15" t="n">
        <v>96</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G-C-0181</t>
        </is>
      </c>
      <c r="B3266" s="12" t="inlineStr">
        <is>
          <t>G</t>
        </is>
      </c>
      <c r="C3266" s="12" t="inlineStr">
        <is>
          <t>Carbon capture</t>
        </is>
      </c>
      <c r="D3266" s="12" t="inlineStr">
        <is>
          <t>Motor 2 of 2: control / local station</t>
        </is>
      </c>
      <c r="E3266" s="12" t="inlineStr"/>
      <c r="F3266" s="12" t="inlineStr">
        <is>
          <t>CCS MV switchgear building (VFDs)</t>
        </is>
      </c>
      <c r="G3266" s="12" t="inlineStr"/>
      <c r="H3266" s="12" t="inlineStr">
        <is>
          <t>Water-wash pumps B</t>
        </is>
      </c>
      <c r="I3266" s="12" t="inlineStr">
        <is>
          <t>Control</t>
        </is>
      </c>
      <c r="J3266" s="12" t="inlineStr">
        <is>
          <t>Control cable 600 V Type TC-ER, Cu #14 AWG, PVC jacket</t>
        </is>
      </c>
      <c r="K3266" s="12" t="inlineStr">
        <is>
          <t>CT|7/C|14</t>
        </is>
      </c>
      <c r="L3266" s="12" t="inlineStr">
        <is>
          <t>7/C</t>
        </is>
      </c>
      <c r="M3266" s="12" t="inlineStr">
        <is>
          <t>14</t>
        </is>
      </c>
      <c r="N3266" s="12" t="n">
        <v>1</v>
      </c>
      <c r="O3266" s="12" t="n">
        <v>1</v>
      </c>
      <c r="P3266" s="12" t="n"/>
      <c r="Q3266" s="12" t="n"/>
      <c r="R3266" s="12" t="n"/>
      <c r="S3266" s="12" t="inlineStr">
        <is>
          <t>Tray</t>
        </is>
      </c>
      <c r="T3266" s="15" t="n">
        <v>305</v>
      </c>
      <c r="U3266" s="15" t="n">
        <v>96</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G-C-0182</t>
        </is>
      </c>
      <c r="B3267" s="12" t="inlineStr">
        <is>
          <t>G</t>
        </is>
      </c>
      <c r="C3267" s="12" t="inlineStr">
        <is>
          <t>Carbon capture</t>
        </is>
      </c>
      <c r="D3267" s="12" t="inlineStr">
        <is>
          <t>Motor 1 of 2: control / local station</t>
        </is>
      </c>
      <c r="E3267" s="12" t="inlineStr"/>
      <c r="F3267" s="12" t="inlineStr">
        <is>
          <t>CCS MV switchgear building (VFDs)</t>
        </is>
      </c>
      <c r="G3267" s="12" t="inlineStr"/>
      <c r="H3267" s="12" t="inlineStr">
        <is>
          <t>Water-wash pumps C</t>
        </is>
      </c>
      <c r="I3267" s="12" t="inlineStr">
        <is>
          <t>Control</t>
        </is>
      </c>
      <c r="J3267" s="12" t="inlineStr">
        <is>
          <t>Control cable 600 V Type TC-ER, Cu #14 AWG, PVC jacket</t>
        </is>
      </c>
      <c r="K3267" s="12" t="inlineStr">
        <is>
          <t>CT|7/C|14</t>
        </is>
      </c>
      <c r="L3267" s="12" t="inlineStr">
        <is>
          <t>7/C</t>
        </is>
      </c>
      <c r="M3267" s="12" t="inlineStr">
        <is>
          <t>14</t>
        </is>
      </c>
      <c r="N3267" s="12" t="n">
        <v>1</v>
      </c>
      <c r="O3267" s="12" t="n">
        <v>1</v>
      </c>
      <c r="P3267" s="12" t="n"/>
      <c r="Q3267" s="12" t="n"/>
      <c r="R3267" s="12" t="n"/>
      <c r="S3267" s="12" t="inlineStr">
        <is>
          <t>Tray</t>
        </is>
      </c>
      <c r="T3267" s="15" t="n">
        <v>145</v>
      </c>
      <c r="U3267" s="15" t="n">
        <v>96</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G-C-0183</t>
        </is>
      </c>
      <c r="B3268" s="12" t="inlineStr">
        <is>
          <t>G</t>
        </is>
      </c>
      <c r="C3268" s="12" t="inlineStr">
        <is>
          <t>Carbon capture</t>
        </is>
      </c>
      <c r="D3268" s="12" t="inlineStr">
        <is>
          <t>Motor 2 of 2: control / local station</t>
        </is>
      </c>
      <c r="E3268" s="12" t="inlineStr"/>
      <c r="F3268" s="12" t="inlineStr">
        <is>
          <t>CCS MV switchgear building (VFDs)</t>
        </is>
      </c>
      <c r="G3268" s="12" t="inlineStr"/>
      <c r="H3268" s="12" t="inlineStr">
        <is>
          <t>Water-wash pumps C</t>
        </is>
      </c>
      <c r="I3268" s="12" t="inlineStr">
        <is>
          <t>Control</t>
        </is>
      </c>
      <c r="J3268" s="12" t="inlineStr">
        <is>
          <t>Control cable 600 V Type TC-ER, Cu #14 AWG, PVC jacket</t>
        </is>
      </c>
      <c r="K3268" s="12" t="inlineStr">
        <is>
          <t>CT|7/C|14</t>
        </is>
      </c>
      <c r="L3268" s="12" t="inlineStr">
        <is>
          <t>7/C</t>
        </is>
      </c>
      <c r="M3268" s="12" t="inlineStr">
        <is>
          <t>14</t>
        </is>
      </c>
      <c r="N3268" s="12" t="n">
        <v>1</v>
      </c>
      <c r="O3268" s="12" t="n">
        <v>1</v>
      </c>
      <c r="P3268" s="12" t="n"/>
      <c r="Q3268" s="12" t="n"/>
      <c r="R3268" s="12" t="n"/>
      <c r="S3268" s="12" t="inlineStr">
        <is>
          <t>Tray</t>
        </is>
      </c>
      <c r="T3268" s="15" t="n">
        <v>145</v>
      </c>
      <c r="U3268" s="15" t="n">
        <v>96</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G-F-0001</t>
        </is>
      </c>
      <c r="B3269" s="12" t="inlineStr">
        <is>
          <t>G</t>
        </is>
      </c>
      <c r="C3269" s="12" t="inlineStr">
        <is>
          <t>Carbon capture</t>
        </is>
      </c>
      <c r="D3269" s="12" t="inlineStr">
        <is>
          <t>Plant network / DCS fibre</t>
        </is>
      </c>
      <c r="E3269" s="12" t="inlineStr">
        <is>
          <t>CR</t>
        </is>
      </c>
      <c r="F3269" s="12" t="inlineStr">
        <is>
          <t>Control / admin building (main control room)</t>
        </is>
      </c>
      <c r="G3269" s="12" t="inlineStr"/>
      <c r="H3269" s="12" t="inlineStr">
        <is>
          <t>CCS F&amp;G / control</t>
        </is>
      </c>
      <c r="I3269" s="12" t="inlineStr">
        <is>
          <t>Fibre / data</t>
        </is>
      </c>
      <c r="J3269" s="12" t="inlineStr">
        <is>
          <t>Fibre optic, single-mode, 12-fibre, armored, orange jacket</t>
        </is>
      </c>
      <c r="K3269" s="12" t="inlineStr">
        <is>
          <t>FO|12 SM|-</t>
        </is>
      </c>
      <c r="L3269" s="12" t="inlineStr">
        <is>
          <t>12 SM</t>
        </is>
      </c>
      <c r="M3269" s="12" t="inlineStr">
        <is>
          <t>-</t>
        </is>
      </c>
      <c r="N3269" s="12" t="n">
        <v>1</v>
      </c>
      <c r="O3269" s="12" t="n">
        <v>1</v>
      </c>
      <c r="P3269" s="12" t="n"/>
      <c r="Q3269" s="12" t="n"/>
      <c r="R3269" s="12" t="n"/>
      <c r="S3269" s="12" t="inlineStr">
        <is>
          <t>Tray</t>
        </is>
      </c>
      <c r="T3269" s="15" t="n">
        <v>2379</v>
      </c>
      <c r="U3269" s="15" t="n">
        <v>333</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G-F-0002</t>
        </is>
      </c>
      <c r="B3270" s="12" t="inlineStr">
        <is>
          <t>G</t>
        </is>
      </c>
      <c r="C3270" s="12" t="inlineStr">
        <is>
          <t>Carbon capture</t>
        </is>
      </c>
      <c r="D3270" s="12" t="inlineStr">
        <is>
          <t>Plant network / DCS fibre</t>
        </is>
      </c>
      <c r="E3270" s="12" t="inlineStr">
        <is>
          <t>CR</t>
        </is>
      </c>
      <c r="F3270" s="12" t="inlineStr">
        <is>
          <t>Control / admin building (main control room)</t>
        </is>
      </c>
      <c r="G3270" s="12" t="inlineStr"/>
      <c r="H3270" s="12" t="inlineStr">
        <is>
          <t>CCS MV switchgear building (VFDs)</t>
        </is>
      </c>
      <c r="I3270" s="12" t="inlineStr">
        <is>
          <t>Fibre / data</t>
        </is>
      </c>
      <c r="J3270" s="12" t="inlineStr">
        <is>
          <t>Fibre optic, single-mode, 12-fibre, armored, orange jacket</t>
        </is>
      </c>
      <c r="K3270" s="12" t="inlineStr">
        <is>
          <t>FO|12 SM|-</t>
        </is>
      </c>
      <c r="L3270" s="12" t="inlineStr">
        <is>
          <t>12 SM</t>
        </is>
      </c>
      <c r="M3270" s="12" t="inlineStr">
        <is>
          <t>-</t>
        </is>
      </c>
      <c r="N3270" s="12" t="n">
        <v>1</v>
      </c>
      <c r="O3270" s="12" t="n">
        <v>1</v>
      </c>
      <c r="P3270" s="12" t="n"/>
      <c r="Q3270" s="12" t="n"/>
      <c r="R3270" s="12" t="n"/>
      <c r="S3270" s="12" t="inlineStr">
        <is>
          <t>Duct bank</t>
        </is>
      </c>
      <c r="T3270" s="15" t="n">
        <v>2585</v>
      </c>
      <c r="U3270" s="15" t="n">
        <v>264</v>
      </c>
      <c r="V3270" s="15">
        <f>ROUNDUP((T3270+U3270+2*'Read Me'!$B$13)*(1+'Read Me'!$B$12),-1)</f>
        <v/>
      </c>
      <c r="W3270" s="15">
        <f>V3270*N3270*O3270</f>
        <v/>
      </c>
      <c r="X3270" s="12">
        <f>IF(LEFT(I3270,2)="MV",2*N3270*IF(L3270="1/C",O3270,1),0)</f>
        <v/>
      </c>
      <c r="Y3270" s="12">
        <f>IF(OR(LEFT(K3270,4)="LVAX",LEFT(K3270,6)="MV15AX",LEFT(K3270,4)="CTAX",LEFT(K3270,2)="W|"),2*N3270*O3270,0)</f>
        <v/>
      </c>
      <c r="Z3270" s="12" t="inlineStr"/>
      <c r="AA3270" s="12">
        <f>N3270*O3270</f>
        <v/>
      </c>
    </row>
    <row r="3271">
      <c r="A3271" s="12" t="inlineStr">
        <is>
          <t>G-F-0003</t>
        </is>
      </c>
      <c r="B3271" s="12" t="inlineStr">
        <is>
          <t>G</t>
        </is>
      </c>
      <c r="C3271" s="12" t="inlineStr">
        <is>
          <t>Carbon capture</t>
        </is>
      </c>
      <c r="D3271" s="12" t="inlineStr">
        <is>
          <t>Plant network / DCS fibre</t>
        </is>
      </c>
      <c r="E3271" s="12" t="inlineStr">
        <is>
          <t>CR</t>
        </is>
      </c>
      <c r="F3271" s="12" t="inlineStr">
        <is>
          <t>Control / admin building (main control room)</t>
        </is>
      </c>
      <c r="G3271" s="12" t="inlineStr"/>
      <c r="H3271" s="12" t="inlineStr">
        <is>
          <t>CT MCC / VFD e-house</t>
        </is>
      </c>
      <c r="I3271" s="12" t="inlineStr">
        <is>
          <t>Fibre / data</t>
        </is>
      </c>
      <c r="J3271" s="12" t="inlineStr">
        <is>
          <t>Fibre optic, single-mode, 12-fibre, armored, orange jacket</t>
        </is>
      </c>
      <c r="K3271" s="12" t="inlineStr">
        <is>
          <t>FO|12 SM|-</t>
        </is>
      </c>
      <c r="L3271" s="12" t="inlineStr">
        <is>
          <t>12 SM</t>
        </is>
      </c>
      <c r="M3271" s="12" t="inlineStr">
        <is>
          <t>-</t>
        </is>
      </c>
      <c r="N3271" s="12" t="n">
        <v>1</v>
      </c>
      <c r="O3271" s="12" t="n">
        <v>1</v>
      </c>
      <c r="P3271" s="12" t="n"/>
      <c r="Q3271" s="12" t="n"/>
      <c r="R3271" s="12" t="n"/>
      <c r="S3271" s="12" t="inlineStr">
        <is>
          <t>Duct bank</t>
        </is>
      </c>
      <c r="T3271" s="15" t="n">
        <v>3200</v>
      </c>
      <c r="U3271" s="15" t="n">
        <v>264</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G-FA-0001</t>
        </is>
      </c>
      <c r="B3272" s="12" t="inlineStr">
        <is>
          <t>G</t>
        </is>
      </c>
      <c r="C3272" s="12" t="inlineStr">
        <is>
          <t>Carbon capture</t>
        </is>
      </c>
      <c r="D3272" s="12" t="inlineStr">
        <is>
          <t>Fire alarm / F&amp;G loop (to the local FACP / F&amp;G node)</t>
        </is>
      </c>
      <c r="E3272" s="12" t="inlineStr"/>
      <c r="F3272" s="12" t="inlineStr">
        <is>
          <t>CCS F&amp;G / control</t>
        </is>
      </c>
      <c r="G3272" s="12" t="inlineStr"/>
      <c r="H3272" s="12" t="inlineStr">
        <is>
          <t>CCS F&amp;G / control</t>
        </is>
      </c>
      <c r="I3272" s="12" t="inlineStr">
        <is>
          <t>Fire alarm</t>
        </is>
      </c>
      <c r="J3272" s="12" t="inlineStr">
        <is>
          <t>Fire alarm FPLR 2/C #14 shielded, red jacket (NEC 760)</t>
        </is>
      </c>
      <c r="K3272" s="12" t="inlineStr">
        <is>
          <t>FA|2/C|14</t>
        </is>
      </c>
      <c r="L3272" s="12" t="inlineStr">
        <is>
          <t>2/C</t>
        </is>
      </c>
      <c r="M3272" s="12" t="inlineStr">
        <is>
          <t>14</t>
        </is>
      </c>
      <c r="N3272" s="12" t="n">
        <v>1</v>
      </c>
      <c r="O3272" s="12" t="n">
        <v>1</v>
      </c>
      <c r="P3272" s="12" t="n"/>
      <c r="Q3272" s="12" t="n"/>
      <c r="R3272" s="12" t="n"/>
      <c r="S3272" s="12" t="inlineStr">
        <is>
          <t>Tray</t>
        </is>
      </c>
      <c r="T3272" s="15" t="n">
        <v>0</v>
      </c>
      <c r="U3272" s="15" t="n">
        <v>170</v>
      </c>
      <c r="V3272" s="15">
        <f>ROUNDUP((T3272+U3272+2*'Read Me'!$B$13)*(1+'Read Me'!$B$12),-1)</f>
        <v/>
      </c>
      <c r="W3272" s="15">
        <f>V3272*N3272*O3272</f>
        <v/>
      </c>
      <c r="X3272" s="12">
        <f>IF(LEFT(I3272,2)="MV",2*N3272*IF(L3272="1/C",O3272,1),0)</f>
        <v/>
      </c>
      <c r="Y3272" s="12">
        <f>IF(OR(LEFT(K3272,4)="LVAX",LEFT(K3272,6)="MV15AX",LEFT(K3272,4)="CTAX",LEFT(K3272,2)="W|"),2*N3272*O3272,0)</f>
        <v/>
      </c>
      <c r="Z3272" s="12" t="inlineStr"/>
      <c r="AA3272" s="12">
        <f>N3272*O3272</f>
        <v/>
      </c>
    </row>
    <row r="3273">
      <c r="A3273" s="12" t="inlineStr">
        <is>
          <t>G-FA-0002</t>
        </is>
      </c>
      <c r="B3273" s="12" t="inlineStr">
        <is>
          <t>G</t>
        </is>
      </c>
      <c r="C3273" s="12" t="inlineStr">
        <is>
          <t>Carbon capture</t>
        </is>
      </c>
      <c r="D3273" s="12" t="inlineStr">
        <is>
          <t>Fire alarm / F&amp;G loop (to the local FACP / F&amp;G node)</t>
        </is>
      </c>
      <c r="E3273" s="12" t="inlineStr"/>
      <c r="F3273" s="12" t="inlineStr">
        <is>
          <t>CCS F&amp;G / control</t>
        </is>
      </c>
      <c r="G3273" s="12" t="inlineStr"/>
      <c r="H3273" s="12" t="inlineStr">
        <is>
          <t>CCS MV switchgear building (VFDs)</t>
        </is>
      </c>
      <c r="I3273" s="12" t="inlineStr">
        <is>
          <t>Fire alarm</t>
        </is>
      </c>
      <c r="J3273" s="12" t="inlineStr">
        <is>
          <t>Fire alarm FPLR 2/C #14 shielded, red jacket (NEC 760)</t>
        </is>
      </c>
      <c r="K3273" s="12" t="inlineStr">
        <is>
          <t>FA|2/C|14</t>
        </is>
      </c>
      <c r="L3273" s="12" t="inlineStr">
        <is>
          <t>2/C</t>
        </is>
      </c>
      <c r="M3273" s="12" t="inlineStr">
        <is>
          <t>14</t>
        </is>
      </c>
      <c r="N3273" s="12" t="n">
        <v>1</v>
      </c>
      <c r="O3273" s="12" t="n">
        <v>1</v>
      </c>
      <c r="P3273" s="12" t="n"/>
      <c r="Q3273" s="12" t="n"/>
      <c r="R3273" s="12" t="n"/>
      <c r="S3273" s="12" t="inlineStr">
        <is>
          <t>Duct bank</t>
        </is>
      </c>
      <c r="T3273" s="15" t="n">
        <v>206</v>
      </c>
      <c r="U3273" s="15" t="n">
        <v>101</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G-FA-0003</t>
        </is>
      </c>
      <c r="B3274" s="12" t="inlineStr">
        <is>
          <t>G</t>
        </is>
      </c>
      <c r="C3274" s="12" t="inlineStr">
        <is>
          <t>Carbon capture</t>
        </is>
      </c>
      <c r="D3274" s="12" t="inlineStr">
        <is>
          <t>Fire alarm / F&amp;G loop (to the local FACP / F&amp;G node)</t>
        </is>
      </c>
      <c r="E3274" s="12" t="inlineStr"/>
      <c r="F3274" s="12" t="inlineStr">
        <is>
          <t>CCS F&amp;G / control</t>
        </is>
      </c>
      <c r="G3274" s="12" t="inlineStr"/>
      <c r="H3274" s="12" t="inlineStr">
        <is>
          <t>CT MCC / VFD e-house</t>
        </is>
      </c>
      <c r="I3274" s="12" t="inlineStr">
        <is>
          <t>Fire alarm</t>
        </is>
      </c>
      <c r="J3274" s="12" t="inlineStr">
        <is>
          <t>Fire alarm FPLR 2/C #14 shielded, red jacket (NEC 760)</t>
        </is>
      </c>
      <c r="K3274" s="12" t="inlineStr">
        <is>
          <t>FA|2/C|14</t>
        </is>
      </c>
      <c r="L3274" s="12" t="inlineStr">
        <is>
          <t>2/C</t>
        </is>
      </c>
      <c r="M3274" s="12" t="inlineStr">
        <is>
          <t>14</t>
        </is>
      </c>
      <c r="N3274" s="12" t="n">
        <v>1</v>
      </c>
      <c r="O3274" s="12" t="n">
        <v>1</v>
      </c>
      <c r="P3274" s="12" t="n"/>
      <c r="Q3274" s="12" t="n"/>
      <c r="R3274" s="12" t="n"/>
      <c r="S3274" s="12" t="inlineStr">
        <is>
          <t>Duct bank</t>
        </is>
      </c>
      <c r="T3274" s="15" t="n">
        <v>821</v>
      </c>
      <c r="U3274" s="15" t="n">
        <v>101</v>
      </c>
      <c r="V3274" s="15">
        <f>ROUNDUP((T3274+U3274+2*'Read Me'!$B$13)*(1+'Read Me'!$B$12),-1)</f>
        <v/>
      </c>
      <c r="W3274" s="15">
        <f>V3274*N3274*O3274</f>
        <v/>
      </c>
      <c r="X3274" s="12">
        <f>IF(LEFT(I3274,2)="MV",2*N3274*IF(L3274="1/C",O3274,1),0)</f>
        <v/>
      </c>
      <c r="Y3274" s="12">
        <f>IF(OR(LEFT(K3274,4)="LVAX",LEFT(K3274,6)="MV15AX",LEFT(K3274,4)="CTAX",LEFT(K3274,2)="W|"),2*N3274*O3274,0)</f>
        <v/>
      </c>
      <c r="Z3274" s="12" t="inlineStr"/>
      <c r="AA3274" s="12">
        <f>N3274*O3274</f>
        <v/>
      </c>
    </row>
    <row r="3275">
      <c r="A3275" s="12" t="inlineStr">
        <is>
          <t>G-I-0001</t>
        </is>
      </c>
      <c r="B3275" s="12" t="inlineStr">
        <is>
          <t>G</t>
        </is>
      </c>
      <c r="C3275" s="12" t="inlineStr">
        <is>
          <t>Carbon capture</t>
        </is>
      </c>
      <c r="D3275" s="12" t="inlineStr">
        <is>
          <t>Analog instrument to JB JB-ABS-A-AI01: 20 x 1 pr (field cables)</t>
        </is>
      </c>
      <c r="E3275" s="12" t="inlineStr">
        <is>
          <t>ABS-A</t>
        </is>
      </c>
      <c r="F3275" s="12" t="inlineStr">
        <is>
          <t>Absorber A (62 ft dia x 262 ft, stack to 313 ft)</t>
        </is>
      </c>
      <c r="G3275" s="12" t="inlineStr">
        <is>
          <t>JB-ABS-A-AI01</t>
        </is>
      </c>
      <c r="H3275" s="12" t="inlineStr">
        <is>
          <t>Absorber A (62 ft dia x 262 ft, stack to 313 ft)</t>
        </is>
      </c>
      <c r="I3275" s="12" t="inlineStr">
        <is>
          <t>Instrumentation</t>
        </is>
      </c>
      <c r="J3275" s="12" t="inlineStr">
        <is>
          <t>Instrumentation PLTC / TC-ER 300 V, #18 twisted shielded pairs, overall shield</t>
        </is>
      </c>
      <c r="K3275" s="12" t="inlineStr">
        <is>
          <t>PLTC|1 pr|16</t>
        </is>
      </c>
      <c r="L3275" s="12" t="inlineStr">
        <is>
          <t>1 pr</t>
        </is>
      </c>
      <c r="M3275" s="12" t="inlineStr">
        <is>
          <t>16</t>
        </is>
      </c>
      <c r="N3275" s="12" t="n">
        <v>20</v>
      </c>
      <c r="O3275" s="12" t="n">
        <v>1</v>
      </c>
      <c r="P3275" s="12" t="n"/>
      <c r="Q3275" s="12" t="n"/>
      <c r="R3275" s="12" t="n"/>
      <c r="S3275" s="12" t="inlineStr">
        <is>
          <t>Tray / conduit</t>
        </is>
      </c>
      <c r="T3275" s="15" t="n">
        <v>212</v>
      </c>
      <c r="U3275" s="15" t="n">
        <v>10</v>
      </c>
      <c r="V3275" s="15">
        <f>ROUNDUP((T3275+U3275+2*'Read Me'!$B$13)*(1+'Read Me'!$B$12),-1)</f>
        <v/>
      </c>
      <c r="W3275" s="15">
        <f>V3275*N3275*O3275</f>
        <v/>
      </c>
      <c r="X3275" s="12">
        <f>IF(LEFT(I3275,2)="MV",2*N3275*IF(L3275="1/C",O3275,1),0)</f>
        <v/>
      </c>
      <c r="Y3275" s="12">
        <f>IF(OR(LEFT(K3275,4)="LVAX",LEFT(K3275,6)="MV15AX",LEFT(K3275,4)="CTAX",LEFT(K3275,2)="W|"),2*N3275*O3275,0)</f>
        <v/>
      </c>
      <c r="Z3275" s="12" t="inlineStr">
        <is>
          <t>device-to-JB field wiring, one cable per device</t>
        </is>
      </c>
      <c r="AA3275" s="12">
        <f>N3275*O3275</f>
        <v/>
      </c>
    </row>
    <row r="3276">
      <c r="A3276" s="12" t="inlineStr">
        <is>
          <t>G-I-0002</t>
        </is>
      </c>
      <c r="B3276" s="12" t="inlineStr">
        <is>
          <t>G</t>
        </is>
      </c>
      <c r="C3276" s="12" t="inlineStr">
        <is>
          <t>Carbon capture</t>
        </is>
      </c>
      <c r="D3276" s="12" t="inlineStr">
        <is>
          <t>Home run JB-ABS-A-AI01 to the control / marshalling room</t>
        </is>
      </c>
      <c r="E3276" s="12" t="inlineStr"/>
      <c r="F3276" s="12" t="inlineStr">
        <is>
          <t>CCS F&amp;G / control</t>
        </is>
      </c>
      <c r="G3276" s="12" t="inlineStr">
        <is>
          <t>JB-ABS-A-AI01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PLTC|24 pr|18</t>
        </is>
      </c>
      <c r="L3276" s="12" t="inlineStr">
        <is>
          <t>24 pr</t>
        </is>
      </c>
      <c r="M3276" s="12" t="inlineStr">
        <is>
          <t>18</t>
        </is>
      </c>
      <c r="N3276" s="12" t="n">
        <v>1</v>
      </c>
      <c r="O3276" s="12" t="n">
        <v>1</v>
      </c>
      <c r="P3276" s="12" t="n"/>
      <c r="Q3276" s="12" t="n"/>
      <c r="R3276" s="12" t="n"/>
      <c r="S3276" s="12" t="inlineStr">
        <is>
          <t>Tray</t>
        </is>
      </c>
      <c r="T3276" s="15" t="n">
        <v>939</v>
      </c>
      <c r="U3276" s="15" t="n">
        <v>149</v>
      </c>
      <c r="V3276" s="15">
        <f>ROUNDUP((T3276+U3276+2*'Read Me'!$B$13)*(1+'Read Me'!$B$12),-1)</f>
        <v/>
      </c>
      <c r="W3276" s="15">
        <f>V3276*N3276*O3276</f>
        <v/>
      </c>
      <c r="X3276" s="12">
        <f>IF(LEFT(I3276,2)="MV",2*N3276*IF(L3276="1/C",O3276,1),0)</f>
        <v/>
      </c>
      <c r="Y3276" s="12">
        <f>IF(OR(LEFT(K3276,4)="LVAX",LEFT(K3276,6)="MV15AX",LEFT(K3276,4)="CTAX",LEFT(K3276,2)="W|"),2*N3276*O3276,0)</f>
        <v/>
      </c>
      <c r="Z3276" s="12" t="inlineStr"/>
      <c r="AA3276" s="12">
        <f>N3276*O3276</f>
        <v/>
      </c>
    </row>
    <row r="3277">
      <c r="A3277" s="12" t="inlineStr">
        <is>
          <t>G-I-0003</t>
        </is>
      </c>
      <c r="B3277" s="12" t="inlineStr">
        <is>
          <t>G</t>
        </is>
      </c>
      <c r="C3277" s="12" t="inlineStr">
        <is>
          <t>Carbon capture</t>
        </is>
      </c>
      <c r="D3277" s="12" t="inlineStr">
        <is>
          <t>Analog instrument to JB JB-ABS-A-AI02: 20 x 1 pr (field cables)</t>
        </is>
      </c>
      <c r="E3277" s="12" t="inlineStr">
        <is>
          <t>ABS-A</t>
        </is>
      </c>
      <c r="F3277" s="12" t="inlineStr">
        <is>
          <t>Absorber A (62 ft dia x 262 ft, stack to 313 ft)</t>
        </is>
      </c>
      <c r="G3277" s="12" t="inlineStr">
        <is>
          <t>JB-ABS-A-AI02</t>
        </is>
      </c>
      <c r="H3277" s="12" t="inlineStr">
        <is>
          <t>Absorber A (62 ft dia x 262 ft, stack to 313 ft)</t>
        </is>
      </c>
      <c r="I3277" s="12" t="inlineStr">
        <is>
          <t>Instrumentation</t>
        </is>
      </c>
      <c r="J3277" s="12" t="inlineStr">
        <is>
          <t>Instrumentation PLTC / TC-ER 300 V, #18 twisted shielded pairs, overall shield</t>
        </is>
      </c>
      <c r="K3277" s="12" t="inlineStr">
        <is>
          <t>PLTC|1 pr|16</t>
        </is>
      </c>
      <c r="L3277" s="12" t="inlineStr">
        <is>
          <t>1 pr</t>
        </is>
      </c>
      <c r="M3277" s="12" t="inlineStr">
        <is>
          <t>16</t>
        </is>
      </c>
      <c r="N3277" s="12" t="n">
        <v>20</v>
      </c>
      <c r="O3277" s="12" t="n">
        <v>1</v>
      </c>
      <c r="P3277" s="12" t="n"/>
      <c r="Q3277" s="12" t="n"/>
      <c r="R3277" s="12" t="n"/>
      <c r="S3277" s="12" t="inlineStr">
        <is>
          <t>Tray / conduit</t>
        </is>
      </c>
      <c r="T3277" s="15" t="n">
        <v>212</v>
      </c>
      <c r="U3277" s="15" t="n">
        <v>10</v>
      </c>
      <c r="V3277" s="15">
        <f>ROUNDUP((T3277+U3277+2*'Read Me'!$B$13)*(1+'Read Me'!$B$12),-1)</f>
        <v/>
      </c>
      <c r="W3277" s="15">
        <f>V3277*N3277*O3277</f>
        <v/>
      </c>
      <c r="X3277" s="12">
        <f>IF(LEFT(I3277,2)="MV",2*N3277*IF(L3277="1/C",O3277,1),0)</f>
        <v/>
      </c>
      <c r="Y3277" s="12">
        <f>IF(OR(LEFT(K3277,4)="LVAX",LEFT(K3277,6)="MV15AX",LEFT(K3277,4)="CTAX",LEFT(K3277,2)="W|"),2*N3277*O3277,0)</f>
        <v/>
      </c>
      <c r="Z3277" s="12" t="inlineStr">
        <is>
          <t>device-to-JB field wiring, one cable per device</t>
        </is>
      </c>
      <c r="AA3277" s="12">
        <f>N3277*O3277</f>
        <v/>
      </c>
    </row>
    <row r="3278">
      <c r="A3278" s="12" t="inlineStr">
        <is>
          <t>G-I-0004</t>
        </is>
      </c>
      <c r="B3278" s="12" t="inlineStr">
        <is>
          <t>G</t>
        </is>
      </c>
      <c r="C3278" s="12" t="inlineStr">
        <is>
          <t>Carbon capture</t>
        </is>
      </c>
      <c r="D3278" s="12" t="inlineStr">
        <is>
          <t>Home run JB-ABS-A-AI02 to the control / marshalling room</t>
        </is>
      </c>
      <c r="E3278" s="12" t="inlineStr"/>
      <c r="F3278" s="12" t="inlineStr">
        <is>
          <t>CCS F&amp;G / control</t>
        </is>
      </c>
      <c r="G3278" s="12" t="inlineStr">
        <is>
          <t>JB-ABS-A-AI02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PLTC|24 pr|18</t>
        </is>
      </c>
      <c r="L3278" s="12" t="inlineStr">
        <is>
          <t>24 pr</t>
        </is>
      </c>
      <c r="M3278" s="12" t="inlineStr">
        <is>
          <t>18</t>
        </is>
      </c>
      <c r="N3278" s="12" t="n">
        <v>1</v>
      </c>
      <c r="O3278" s="12" t="n">
        <v>1</v>
      </c>
      <c r="P3278" s="12" t="n"/>
      <c r="Q3278" s="12" t="n"/>
      <c r="R3278" s="12" t="n"/>
      <c r="S3278" s="12" t="inlineStr">
        <is>
          <t>Tray</t>
        </is>
      </c>
      <c r="T3278" s="15" t="n">
        <v>939</v>
      </c>
      <c r="U3278" s="15" t="n">
        <v>149</v>
      </c>
      <c r="V3278" s="15">
        <f>ROUNDUP((T3278+U3278+2*'Read Me'!$B$13)*(1+'Read Me'!$B$12),-1)</f>
        <v/>
      </c>
      <c r="W3278" s="15">
        <f>V3278*N3278*O3278</f>
        <v/>
      </c>
      <c r="X3278" s="12">
        <f>IF(LEFT(I3278,2)="MV",2*N3278*IF(L3278="1/C",O3278,1),0)</f>
        <v/>
      </c>
      <c r="Y3278" s="12">
        <f>IF(OR(LEFT(K3278,4)="LVAX",LEFT(K3278,6)="MV15AX",LEFT(K3278,4)="CTAX",LEFT(K3278,2)="W|"),2*N3278*O3278,0)</f>
        <v/>
      </c>
      <c r="Z3278" s="12" t="inlineStr"/>
      <c r="AA3278" s="12">
        <f>N3278*O3278</f>
        <v/>
      </c>
    </row>
    <row r="3279">
      <c r="A3279" s="12" t="inlineStr">
        <is>
          <t>G-I-0005</t>
        </is>
      </c>
      <c r="B3279" s="12" t="inlineStr">
        <is>
          <t>G</t>
        </is>
      </c>
      <c r="C3279" s="12" t="inlineStr">
        <is>
          <t>Carbon capture</t>
        </is>
      </c>
      <c r="D3279" s="12" t="inlineStr">
        <is>
          <t>Analog instrument to JB JB-ABS-A-AI03: 20 x 1 pr (field cables)</t>
        </is>
      </c>
      <c r="E3279" s="12" t="inlineStr">
        <is>
          <t>ABS-A</t>
        </is>
      </c>
      <c r="F3279" s="12" t="inlineStr">
        <is>
          <t>Absorber A (62 ft dia x 262 ft, stack to 313 ft)</t>
        </is>
      </c>
      <c r="G3279" s="12" t="inlineStr">
        <is>
          <t>JB-ABS-A-AI03</t>
        </is>
      </c>
      <c r="H3279" s="12" t="inlineStr">
        <is>
          <t>Absorber A (62 ft dia x 262 ft, stack to 313 ft)</t>
        </is>
      </c>
      <c r="I3279" s="12" t="inlineStr">
        <is>
          <t>Instrumentation</t>
        </is>
      </c>
      <c r="J3279" s="12" t="inlineStr">
        <is>
          <t>Instrumentation PLTC / TC-ER 300 V, #18 twisted shielded pairs, overall shield</t>
        </is>
      </c>
      <c r="K3279" s="12" t="inlineStr">
        <is>
          <t>PLTC|1 pr|16</t>
        </is>
      </c>
      <c r="L3279" s="12" t="inlineStr">
        <is>
          <t>1 pr</t>
        </is>
      </c>
      <c r="M3279" s="12" t="inlineStr">
        <is>
          <t>16</t>
        </is>
      </c>
      <c r="N3279" s="12" t="n">
        <v>20</v>
      </c>
      <c r="O3279" s="12" t="n">
        <v>1</v>
      </c>
      <c r="P3279" s="12" t="n"/>
      <c r="Q3279" s="12" t="n"/>
      <c r="R3279" s="12" t="n"/>
      <c r="S3279" s="12" t="inlineStr">
        <is>
          <t>Tray / conduit</t>
        </is>
      </c>
      <c r="T3279" s="15" t="n">
        <v>212</v>
      </c>
      <c r="U3279" s="15" t="n">
        <v>10</v>
      </c>
      <c r="V3279" s="15">
        <f>ROUNDUP((T3279+U3279+2*'Read Me'!$B$13)*(1+'Read Me'!$B$12),-1)</f>
        <v/>
      </c>
      <c r="W3279" s="15">
        <f>V3279*N3279*O3279</f>
        <v/>
      </c>
      <c r="X3279" s="12">
        <f>IF(LEFT(I3279,2)="MV",2*N3279*IF(L3279="1/C",O3279,1),0)</f>
        <v/>
      </c>
      <c r="Y3279" s="12">
        <f>IF(OR(LEFT(K3279,4)="LVAX",LEFT(K3279,6)="MV15AX",LEFT(K3279,4)="CTAX",LEFT(K3279,2)="W|"),2*N3279*O3279,0)</f>
        <v/>
      </c>
      <c r="Z3279" s="12" t="inlineStr">
        <is>
          <t>device-to-JB field wiring, one cable per device</t>
        </is>
      </c>
      <c r="AA3279" s="12">
        <f>N3279*O3279</f>
        <v/>
      </c>
    </row>
    <row r="3280">
      <c r="A3280" s="12" t="inlineStr">
        <is>
          <t>G-I-0006</t>
        </is>
      </c>
      <c r="B3280" s="12" t="inlineStr">
        <is>
          <t>G</t>
        </is>
      </c>
      <c r="C3280" s="12" t="inlineStr">
        <is>
          <t>Carbon capture</t>
        </is>
      </c>
      <c r="D3280" s="12" t="inlineStr">
        <is>
          <t>Home run JB-ABS-A-AI03 to the control / marshalling room</t>
        </is>
      </c>
      <c r="E3280" s="12" t="inlineStr"/>
      <c r="F3280" s="12" t="inlineStr">
        <is>
          <t>CCS F&amp;G / control</t>
        </is>
      </c>
      <c r="G3280" s="12" t="inlineStr">
        <is>
          <t>JB-ABS-A-AI03</t>
        </is>
      </c>
      <c r="H3280" s="12" t="inlineStr">
        <is>
          <t>Absorber A (62 ft dia x 262 ft, stack to 313 ft)</t>
        </is>
      </c>
      <c r="I3280" s="12" t="inlineStr">
        <is>
          <t>Instrumentation</t>
        </is>
      </c>
      <c r="J3280" s="12" t="inlineStr">
        <is>
          <t>Instrumentation PLTC / TC-ER 300 V, #18 twisted shielded pairs, overall shield</t>
        </is>
      </c>
      <c r="K3280" s="12" t="inlineStr">
        <is>
          <t>PLTC|24 pr|18</t>
        </is>
      </c>
      <c r="L3280" s="12" t="inlineStr">
        <is>
          <t>24 pr</t>
        </is>
      </c>
      <c r="M3280" s="12" t="inlineStr">
        <is>
          <t>18</t>
        </is>
      </c>
      <c r="N3280" s="12" t="n">
        <v>1</v>
      </c>
      <c r="O3280" s="12" t="n">
        <v>1</v>
      </c>
      <c r="P3280" s="12" t="n"/>
      <c r="Q3280" s="12" t="n"/>
      <c r="R3280" s="12" t="n"/>
      <c r="S3280" s="12" t="inlineStr">
        <is>
          <t>Tray</t>
        </is>
      </c>
      <c r="T3280" s="15" t="n">
        <v>939</v>
      </c>
      <c r="U3280" s="15" t="n">
        <v>149</v>
      </c>
      <c r="V3280" s="15">
        <f>ROUNDUP((T3280+U3280+2*'Read Me'!$B$13)*(1+'Read Me'!$B$12),-1)</f>
        <v/>
      </c>
      <c r="W3280" s="15">
        <f>V3280*N3280*O3280</f>
        <v/>
      </c>
      <c r="X3280" s="12">
        <f>IF(LEFT(I3280,2)="MV",2*N3280*IF(L3280="1/C",O3280,1),0)</f>
        <v/>
      </c>
      <c r="Y3280" s="12">
        <f>IF(OR(LEFT(K3280,4)="LVAX",LEFT(K3280,6)="MV15AX",LEFT(K3280,4)="CTAX",LEFT(K3280,2)="W|"),2*N3280*O3280,0)</f>
        <v/>
      </c>
      <c r="Z3280" s="12" t="inlineStr"/>
      <c r="AA3280" s="12">
        <f>N3280*O3280</f>
        <v/>
      </c>
    </row>
    <row r="3281">
      <c r="A3281" s="12" t="inlineStr">
        <is>
          <t>G-I-0007</t>
        </is>
      </c>
      <c r="B3281" s="12" t="inlineStr">
        <is>
          <t>G</t>
        </is>
      </c>
      <c r="C3281" s="12" t="inlineStr">
        <is>
          <t>Carbon capture</t>
        </is>
      </c>
      <c r="D3281" s="12" t="inlineStr">
        <is>
          <t>Discrete device to JB JB-ABS-A-DI01: 20 x 1 pr (field cables)</t>
        </is>
      </c>
      <c r="E3281" s="12" t="inlineStr">
        <is>
          <t>ABS-A</t>
        </is>
      </c>
      <c r="F3281" s="12" t="inlineStr">
        <is>
          <t>Absorber A (62 ft dia x 262 ft, stack to 313 ft)</t>
        </is>
      </c>
      <c r="G3281" s="12" t="inlineStr">
        <is>
          <t>JB-ABS-A-DI01</t>
        </is>
      </c>
      <c r="H3281" s="12" t="inlineStr">
        <is>
          <t>Absorber A (62 ft dia x 262 ft, stack to 313 ft)</t>
        </is>
      </c>
      <c r="I3281" s="12" t="inlineStr">
        <is>
          <t>Instrumentation</t>
        </is>
      </c>
      <c r="J3281" s="12" t="inlineStr">
        <is>
          <t>Instrumentation PLTC / TC-ER 300 V, #18 twisted shielded pairs, overall shield</t>
        </is>
      </c>
      <c r="K3281" s="12" t="inlineStr">
        <is>
          <t>PLTC|1 pr|16</t>
        </is>
      </c>
      <c r="L3281" s="12" t="inlineStr">
        <is>
          <t>1 pr</t>
        </is>
      </c>
      <c r="M3281" s="12" t="inlineStr">
        <is>
          <t>16</t>
        </is>
      </c>
      <c r="N3281" s="12" t="n">
        <v>20</v>
      </c>
      <c r="O3281" s="12" t="n">
        <v>1</v>
      </c>
      <c r="P3281" s="12" t="n"/>
      <c r="Q3281" s="12" t="n"/>
      <c r="R3281" s="12" t="n"/>
      <c r="S3281" s="12" t="inlineStr">
        <is>
          <t>Tray / conduit</t>
        </is>
      </c>
      <c r="T3281" s="15" t="n">
        <v>212</v>
      </c>
      <c r="U3281" s="15" t="n">
        <v>10</v>
      </c>
      <c r="V3281" s="15">
        <f>ROUNDUP((T3281+U3281+2*'Read Me'!$B$13)*(1+'Read Me'!$B$12),-1)</f>
        <v/>
      </c>
      <c r="W3281" s="15">
        <f>V3281*N3281*O3281</f>
        <v/>
      </c>
      <c r="X3281" s="12">
        <f>IF(LEFT(I3281,2)="MV",2*N3281*IF(L3281="1/C",O3281,1),0)</f>
        <v/>
      </c>
      <c r="Y3281" s="12">
        <f>IF(OR(LEFT(K3281,4)="LVAX",LEFT(K3281,6)="MV15AX",LEFT(K3281,4)="CTAX",LEFT(K3281,2)="W|"),2*N3281*O3281,0)</f>
        <v/>
      </c>
      <c r="Z3281" s="12" t="inlineStr">
        <is>
          <t>device-to-JB field wiring, one cable per device</t>
        </is>
      </c>
      <c r="AA3281" s="12">
        <f>N3281*O3281</f>
        <v/>
      </c>
    </row>
    <row r="3282">
      <c r="A3282" s="12" t="inlineStr">
        <is>
          <t>G-I-0008</t>
        </is>
      </c>
      <c r="B3282" s="12" t="inlineStr">
        <is>
          <t>G</t>
        </is>
      </c>
      <c r="C3282" s="12" t="inlineStr">
        <is>
          <t>Carbon capture</t>
        </is>
      </c>
      <c r="D3282" s="12" t="inlineStr">
        <is>
          <t>Home run JB-ABS-A-DI01 to the control / marshalling room</t>
        </is>
      </c>
      <c r="E3282" s="12" t="inlineStr"/>
      <c r="F3282" s="12" t="inlineStr">
        <is>
          <t>CCS F&amp;G / control</t>
        </is>
      </c>
      <c r="G3282" s="12" t="inlineStr">
        <is>
          <t>JB-ABS-A-DI01</t>
        </is>
      </c>
      <c r="H3282" s="12" t="inlineStr">
        <is>
          <t>Absorber A (62 ft dia x 262 ft, stack to 313 ft)</t>
        </is>
      </c>
      <c r="I3282" s="12" t="inlineStr">
        <is>
          <t>Instrumentation</t>
        </is>
      </c>
      <c r="J3282" s="12" t="inlineStr">
        <is>
          <t>Instrumentation PLTC / TC-ER 300 V, #18 twisted shielded pairs, overall shield</t>
        </is>
      </c>
      <c r="K3282" s="12" t="inlineStr">
        <is>
          <t>PLTC|24 pr|18</t>
        </is>
      </c>
      <c r="L3282" s="12" t="inlineStr">
        <is>
          <t>24 pr</t>
        </is>
      </c>
      <c r="M3282" s="12" t="inlineStr">
        <is>
          <t>18</t>
        </is>
      </c>
      <c r="N3282" s="12" t="n">
        <v>1</v>
      </c>
      <c r="O3282" s="12" t="n">
        <v>1</v>
      </c>
      <c r="P3282" s="12" t="n"/>
      <c r="Q3282" s="12" t="n"/>
      <c r="R3282" s="12" t="n"/>
      <c r="S3282" s="12" t="inlineStr">
        <is>
          <t>Tray</t>
        </is>
      </c>
      <c r="T3282" s="15" t="n">
        <v>939</v>
      </c>
      <c r="U3282" s="15" t="n">
        <v>149</v>
      </c>
      <c r="V3282" s="15">
        <f>ROUNDUP((T3282+U3282+2*'Read Me'!$B$13)*(1+'Read Me'!$B$12),-1)</f>
        <v/>
      </c>
      <c r="W3282" s="15">
        <f>V3282*N3282*O3282</f>
        <v/>
      </c>
      <c r="X3282" s="12">
        <f>IF(LEFT(I3282,2)="MV",2*N3282*IF(L3282="1/C",O3282,1),0)</f>
        <v/>
      </c>
      <c r="Y3282" s="12">
        <f>IF(OR(LEFT(K3282,4)="LVAX",LEFT(K3282,6)="MV15AX",LEFT(K3282,4)="CTAX",LEFT(K3282,2)="W|"),2*N3282*O3282,0)</f>
        <v/>
      </c>
      <c r="Z3282" s="12" t="inlineStr"/>
      <c r="AA3282" s="12">
        <f>N3282*O3282</f>
        <v/>
      </c>
    </row>
    <row r="3283">
      <c r="A3283" s="12" t="inlineStr">
        <is>
          <t>G-I-0009</t>
        </is>
      </c>
      <c r="B3283" s="12" t="inlineStr">
        <is>
          <t>G</t>
        </is>
      </c>
      <c r="C3283" s="12" t="inlineStr">
        <is>
          <t>Carbon capture</t>
        </is>
      </c>
      <c r="D3283" s="12" t="inlineStr">
        <is>
          <t>Discrete device to JB JB-ABS-A-DI02: 20 x 1 pr (field cables)</t>
        </is>
      </c>
      <c r="E3283" s="12" t="inlineStr">
        <is>
          <t>ABS-A</t>
        </is>
      </c>
      <c r="F3283" s="12" t="inlineStr">
        <is>
          <t>Absorber A (62 ft dia x 262 ft, stack to 313 ft)</t>
        </is>
      </c>
      <c r="G3283" s="12" t="inlineStr">
        <is>
          <t>JB-ABS-A-DI02</t>
        </is>
      </c>
      <c r="H3283" s="12" t="inlineStr">
        <is>
          <t>Absorber A (62 ft dia x 262 ft, stack to 313 ft)</t>
        </is>
      </c>
      <c r="I3283" s="12" t="inlineStr">
        <is>
          <t>Instrumentation</t>
        </is>
      </c>
      <c r="J3283" s="12" t="inlineStr">
        <is>
          <t>Instrumentation PLTC / TC-ER 300 V, #18 twisted shielded pairs, overall shield</t>
        </is>
      </c>
      <c r="K3283" s="12" t="inlineStr">
        <is>
          <t>PLTC|1 pr|16</t>
        </is>
      </c>
      <c r="L3283" s="12" t="inlineStr">
        <is>
          <t>1 pr</t>
        </is>
      </c>
      <c r="M3283" s="12" t="inlineStr">
        <is>
          <t>16</t>
        </is>
      </c>
      <c r="N3283" s="12" t="n">
        <v>20</v>
      </c>
      <c r="O3283" s="12" t="n">
        <v>1</v>
      </c>
      <c r="P3283" s="12" t="n"/>
      <c r="Q3283" s="12" t="n"/>
      <c r="R3283" s="12" t="n"/>
      <c r="S3283" s="12" t="inlineStr">
        <is>
          <t>Tray / conduit</t>
        </is>
      </c>
      <c r="T3283" s="15" t="n">
        <v>212</v>
      </c>
      <c r="U3283" s="15" t="n">
        <v>10</v>
      </c>
      <c r="V3283" s="15">
        <f>ROUNDUP((T3283+U3283+2*'Read Me'!$B$13)*(1+'Read Me'!$B$12),-1)</f>
        <v/>
      </c>
      <c r="W3283" s="15">
        <f>V3283*N3283*O3283</f>
        <v/>
      </c>
      <c r="X3283" s="12">
        <f>IF(LEFT(I3283,2)="MV",2*N3283*IF(L3283="1/C",O3283,1),0)</f>
        <v/>
      </c>
      <c r="Y3283" s="12">
        <f>IF(OR(LEFT(K3283,4)="LVAX",LEFT(K3283,6)="MV15AX",LEFT(K3283,4)="CTAX",LEFT(K3283,2)="W|"),2*N3283*O3283,0)</f>
        <v/>
      </c>
      <c r="Z3283" s="12" t="inlineStr">
        <is>
          <t>device-to-JB field wiring, one cable per device</t>
        </is>
      </c>
      <c r="AA3283" s="12">
        <f>N3283*O3283</f>
        <v/>
      </c>
    </row>
    <row r="3284">
      <c r="A3284" s="12" t="inlineStr">
        <is>
          <t>G-I-0010</t>
        </is>
      </c>
      <c r="B3284" s="12" t="inlineStr">
        <is>
          <t>G</t>
        </is>
      </c>
      <c r="C3284" s="12" t="inlineStr">
        <is>
          <t>Carbon capture</t>
        </is>
      </c>
      <c r="D3284" s="12" t="inlineStr">
        <is>
          <t>Home run JB-ABS-A-DI02 to the control / marshalling room</t>
        </is>
      </c>
      <c r="E3284" s="12" t="inlineStr"/>
      <c r="F3284" s="12" t="inlineStr">
        <is>
          <t>CCS F&amp;G / control</t>
        </is>
      </c>
      <c r="G3284" s="12" t="inlineStr">
        <is>
          <t>JB-ABS-A-DI02</t>
        </is>
      </c>
      <c r="H3284" s="12" t="inlineStr">
        <is>
          <t>Absorber A (62 ft dia x 262 ft, stack to 313 ft)</t>
        </is>
      </c>
      <c r="I3284" s="12" t="inlineStr">
        <is>
          <t>Instrumentation</t>
        </is>
      </c>
      <c r="J3284" s="12" t="inlineStr">
        <is>
          <t>Instrumentation PLTC / TC-ER 300 V, #18 twisted shielded pairs, overall shield</t>
        </is>
      </c>
      <c r="K3284" s="12" t="inlineStr">
        <is>
          <t>PLTC|24 pr|18</t>
        </is>
      </c>
      <c r="L3284" s="12" t="inlineStr">
        <is>
          <t>24 pr</t>
        </is>
      </c>
      <c r="M3284" s="12" t="inlineStr">
        <is>
          <t>18</t>
        </is>
      </c>
      <c r="N3284" s="12" t="n">
        <v>1</v>
      </c>
      <c r="O3284" s="12" t="n">
        <v>1</v>
      </c>
      <c r="P3284" s="12" t="n"/>
      <c r="Q3284" s="12" t="n"/>
      <c r="R3284" s="12" t="n"/>
      <c r="S3284" s="12" t="inlineStr">
        <is>
          <t>Tray</t>
        </is>
      </c>
      <c r="T3284" s="15" t="n">
        <v>939</v>
      </c>
      <c r="U3284" s="15" t="n">
        <v>149</v>
      </c>
      <c r="V3284" s="15">
        <f>ROUNDUP((T3284+U3284+2*'Read Me'!$B$13)*(1+'Read Me'!$B$12),-1)</f>
        <v/>
      </c>
      <c r="W3284" s="15">
        <f>V3284*N3284*O3284</f>
        <v/>
      </c>
      <c r="X3284" s="12">
        <f>IF(LEFT(I3284,2)="MV",2*N3284*IF(L3284="1/C",O3284,1),0)</f>
        <v/>
      </c>
      <c r="Y3284" s="12">
        <f>IF(OR(LEFT(K3284,4)="LVAX",LEFT(K3284,6)="MV15AX",LEFT(K3284,4)="CTAX",LEFT(K3284,2)="W|"),2*N3284*O3284,0)</f>
        <v/>
      </c>
      <c r="Z3284" s="12" t="inlineStr"/>
      <c r="AA3284" s="12">
        <f>N3284*O3284</f>
        <v/>
      </c>
    </row>
    <row r="3285">
      <c r="A3285" s="12" t="inlineStr">
        <is>
          <t>G-I-0011</t>
        </is>
      </c>
      <c r="B3285" s="12" t="inlineStr">
        <is>
          <t>G</t>
        </is>
      </c>
      <c r="C3285" s="12" t="inlineStr">
        <is>
          <t>Carbon capture</t>
        </is>
      </c>
      <c r="D3285" s="12" t="inlineStr">
        <is>
          <t>Analog instrument to JB JB-Absorber A interco-AI01: 15 x 1 pr (field cables)</t>
        </is>
      </c>
      <c r="E3285" s="12" t="inlineStr"/>
      <c r="F3285" s="12" t="inlineStr">
        <is>
          <t>Absorber A intercooler (pumps + plate exchanger)</t>
        </is>
      </c>
      <c r="G3285" s="12" t="inlineStr">
        <is>
          <t>JB-Absorber A interco-AI01</t>
        </is>
      </c>
      <c r="H3285" s="12" t="inlineStr">
        <is>
          <t>Absorber A intercooler (pumps + plate exchanger)</t>
        </is>
      </c>
      <c r="I3285" s="12" t="inlineStr">
        <is>
          <t>Instrumentation</t>
        </is>
      </c>
      <c r="J3285" s="12" t="inlineStr">
        <is>
          <t>Instrumentation PLTC / TC-ER 300 V, #18 twisted shielded pairs, overall shield</t>
        </is>
      </c>
      <c r="K3285" s="12" t="inlineStr">
        <is>
          <t>PLTC|1 pr|16</t>
        </is>
      </c>
      <c r="L3285" s="12" t="inlineStr">
        <is>
          <t>1 pr</t>
        </is>
      </c>
      <c r="M3285" s="12" t="inlineStr">
        <is>
          <t>16</t>
        </is>
      </c>
      <c r="N3285" s="12" t="n">
        <v>15</v>
      </c>
      <c r="O3285" s="12" t="n">
        <v>1</v>
      </c>
      <c r="P3285" s="12" t="n"/>
      <c r="Q3285" s="12" t="n"/>
      <c r="R3285" s="12" t="n"/>
      <c r="S3285" s="12" t="inlineStr">
        <is>
          <t>Tray / conduit</t>
        </is>
      </c>
      <c r="T3285" s="15" t="n">
        <v>55</v>
      </c>
      <c r="U3285" s="15" t="n">
        <v>10</v>
      </c>
      <c r="V3285" s="15">
        <f>ROUNDUP((T3285+U3285+2*'Read Me'!$B$13)*(1+'Read Me'!$B$12),-1)</f>
        <v/>
      </c>
      <c r="W3285" s="15">
        <f>V3285*N3285*O3285</f>
        <v/>
      </c>
      <c r="X3285" s="12">
        <f>IF(LEFT(I3285,2)="MV",2*N3285*IF(L3285="1/C",O3285,1),0)</f>
        <v/>
      </c>
      <c r="Y3285" s="12">
        <f>IF(OR(LEFT(K3285,4)="LVAX",LEFT(K3285,6)="MV15AX",LEFT(K3285,4)="CTAX",LEFT(K3285,2)="W|"),2*N3285*O3285,0)</f>
        <v/>
      </c>
      <c r="Z3285" s="12" t="inlineStr">
        <is>
          <t>device-to-JB field wiring, one cable per device</t>
        </is>
      </c>
      <c r="AA3285" s="12">
        <f>N3285*O3285</f>
        <v/>
      </c>
    </row>
    <row r="3286">
      <c r="A3286" s="12" t="inlineStr">
        <is>
          <t>G-I-0012</t>
        </is>
      </c>
      <c r="B3286" s="12" t="inlineStr">
        <is>
          <t>G</t>
        </is>
      </c>
      <c r="C3286" s="12" t="inlineStr">
        <is>
          <t>Carbon capture</t>
        </is>
      </c>
      <c r="D3286" s="12" t="inlineStr">
        <is>
          <t>Home run JB-Absorber A interco-AI01 to the control / marshalling room</t>
        </is>
      </c>
      <c r="E3286" s="12" t="inlineStr"/>
      <c r="F3286" s="12" t="inlineStr">
        <is>
          <t>CCS F&amp;G / control</t>
        </is>
      </c>
      <c r="G3286" s="12" t="inlineStr">
        <is>
          <t>JB-Absorber A interco-AI01</t>
        </is>
      </c>
      <c r="H3286" s="12" t="inlineStr">
        <is>
          <t>Absorber A intercooler (pumps + plate exchanger)</t>
        </is>
      </c>
      <c r="I3286" s="12" t="inlineStr">
        <is>
          <t>Instrumentation</t>
        </is>
      </c>
      <c r="J3286" s="12" t="inlineStr">
        <is>
          <t>Instrumentation PLTC / TC-ER 300 V, #18 twisted shielded pairs, overall shield</t>
        </is>
      </c>
      <c r="K3286" s="12" t="inlineStr">
        <is>
          <t>PLTC|24 pr|18</t>
        </is>
      </c>
      <c r="L3286" s="12" t="inlineStr">
        <is>
          <t>24 pr</t>
        </is>
      </c>
      <c r="M3286" s="12" t="inlineStr">
        <is>
          <t>18</t>
        </is>
      </c>
      <c r="N3286" s="12" t="n">
        <v>1</v>
      </c>
      <c r="O3286" s="12" t="n">
        <v>1</v>
      </c>
      <c r="P3286" s="12" t="n"/>
      <c r="Q3286" s="12" t="n"/>
      <c r="R3286" s="12" t="n"/>
      <c r="S3286" s="12" t="inlineStr">
        <is>
          <t>Tray</t>
        </is>
      </c>
      <c r="T3286" s="15" t="n">
        <v>921</v>
      </c>
      <c r="U3286" s="15" t="n">
        <v>150</v>
      </c>
      <c r="V3286" s="15">
        <f>ROUNDUP((T3286+U3286+2*'Read Me'!$B$13)*(1+'Read Me'!$B$12),-1)</f>
        <v/>
      </c>
      <c r="W3286" s="15">
        <f>V3286*N3286*O3286</f>
        <v/>
      </c>
      <c r="X3286" s="12">
        <f>IF(LEFT(I3286,2)="MV",2*N3286*IF(L3286="1/C",O3286,1),0)</f>
        <v/>
      </c>
      <c r="Y3286" s="12">
        <f>IF(OR(LEFT(K3286,4)="LVAX",LEFT(K3286,6)="MV15AX",LEFT(K3286,4)="CTAX",LEFT(K3286,2)="W|"),2*N3286*O3286,0)</f>
        <v/>
      </c>
      <c r="Z3286" s="12" t="inlineStr"/>
      <c r="AA3286" s="12">
        <f>N3286*O3286</f>
        <v/>
      </c>
    </row>
    <row r="3287">
      <c r="A3287" s="12" t="inlineStr">
        <is>
          <t>G-I-0013</t>
        </is>
      </c>
      <c r="B3287" s="12" t="inlineStr">
        <is>
          <t>G</t>
        </is>
      </c>
      <c r="C3287" s="12" t="inlineStr">
        <is>
          <t>Carbon capture</t>
        </is>
      </c>
      <c r="D3287" s="12" t="inlineStr">
        <is>
          <t>Discrete device to JB JB-Absorber A interco-DI01: 15 x 1 pr (field cables)</t>
        </is>
      </c>
      <c r="E3287" s="12" t="inlineStr"/>
      <c r="F3287" s="12" t="inlineStr">
        <is>
          <t>Absorber A intercooler (pumps + plate exchanger)</t>
        </is>
      </c>
      <c r="G3287" s="12" t="inlineStr">
        <is>
          <t>JB-Absorber A interco-DI01</t>
        </is>
      </c>
      <c r="H3287" s="12" t="inlineStr">
        <is>
          <t>Absorber A intercooler (pumps + plate exchanger)</t>
        </is>
      </c>
      <c r="I3287" s="12" t="inlineStr">
        <is>
          <t>Instrumentation</t>
        </is>
      </c>
      <c r="J3287" s="12" t="inlineStr">
        <is>
          <t>Instrumentation PLTC / TC-ER 300 V, #18 twisted shielded pairs, overall shield</t>
        </is>
      </c>
      <c r="K3287" s="12" t="inlineStr">
        <is>
          <t>PLTC|1 pr|16</t>
        </is>
      </c>
      <c r="L3287" s="12" t="inlineStr">
        <is>
          <t>1 pr</t>
        </is>
      </c>
      <c r="M3287" s="12" t="inlineStr">
        <is>
          <t>16</t>
        </is>
      </c>
      <c r="N3287" s="12" t="n">
        <v>15</v>
      </c>
      <c r="O3287" s="12" t="n">
        <v>1</v>
      </c>
      <c r="P3287" s="12" t="n"/>
      <c r="Q3287" s="12" t="n"/>
      <c r="R3287" s="12" t="n"/>
      <c r="S3287" s="12" t="inlineStr">
        <is>
          <t>Tray / conduit</t>
        </is>
      </c>
      <c r="T3287" s="15" t="n">
        <v>55</v>
      </c>
      <c r="U3287" s="15" t="n">
        <v>10</v>
      </c>
      <c r="V3287" s="15">
        <f>ROUNDUP((T3287+U3287+2*'Read Me'!$B$13)*(1+'Read Me'!$B$12),-1)</f>
        <v/>
      </c>
      <c r="W3287" s="15">
        <f>V3287*N3287*O3287</f>
        <v/>
      </c>
      <c r="X3287" s="12">
        <f>IF(LEFT(I3287,2)="MV",2*N3287*IF(L3287="1/C",O3287,1),0)</f>
        <v/>
      </c>
      <c r="Y3287" s="12">
        <f>IF(OR(LEFT(K3287,4)="LVAX",LEFT(K3287,6)="MV15AX",LEFT(K3287,4)="CTAX",LEFT(K3287,2)="W|"),2*N3287*O3287,0)</f>
        <v/>
      </c>
      <c r="Z3287" s="12" t="inlineStr">
        <is>
          <t>device-to-JB field wiring, one cable per device</t>
        </is>
      </c>
      <c r="AA3287" s="12">
        <f>N3287*O3287</f>
        <v/>
      </c>
    </row>
    <row r="3288">
      <c r="A3288" s="12" t="inlineStr">
        <is>
          <t>G-I-0014</t>
        </is>
      </c>
      <c r="B3288" s="12" t="inlineStr">
        <is>
          <t>G</t>
        </is>
      </c>
      <c r="C3288" s="12" t="inlineStr">
        <is>
          <t>Carbon capture</t>
        </is>
      </c>
      <c r="D3288" s="12" t="inlineStr">
        <is>
          <t>Home run JB-Absorber A interco-DI01 to the control / marshalling room</t>
        </is>
      </c>
      <c r="E3288" s="12" t="inlineStr"/>
      <c r="F3288" s="12" t="inlineStr">
        <is>
          <t>CCS F&amp;G / control</t>
        </is>
      </c>
      <c r="G3288" s="12" t="inlineStr">
        <is>
          <t>JB-Absorber A interco-DI01</t>
        </is>
      </c>
      <c r="H3288" s="12" t="inlineStr">
        <is>
          <t>Absorber A intercooler (pumps + plate exchanger)</t>
        </is>
      </c>
      <c r="I3288" s="12" t="inlineStr">
        <is>
          <t>Instrumentation</t>
        </is>
      </c>
      <c r="J3288" s="12" t="inlineStr">
        <is>
          <t>Instrumentation PLTC / TC-ER 300 V, #18 twisted shielded pairs, overall shield</t>
        </is>
      </c>
      <c r="K3288" s="12" t="inlineStr">
        <is>
          <t>PLTC|24 pr|18</t>
        </is>
      </c>
      <c r="L3288" s="12" t="inlineStr">
        <is>
          <t>24 pr</t>
        </is>
      </c>
      <c r="M3288" s="12" t="inlineStr">
        <is>
          <t>18</t>
        </is>
      </c>
      <c r="N3288" s="12" t="n">
        <v>1</v>
      </c>
      <c r="O3288" s="12" t="n">
        <v>1</v>
      </c>
      <c r="P3288" s="12" t="n"/>
      <c r="Q3288" s="12" t="n"/>
      <c r="R3288" s="12" t="n"/>
      <c r="S3288" s="12" t="inlineStr">
        <is>
          <t>Tray</t>
        </is>
      </c>
      <c r="T3288" s="15" t="n">
        <v>921</v>
      </c>
      <c r="U3288" s="15" t="n">
        <v>150</v>
      </c>
      <c r="V3288" s="15">
        <f>ROUNDUP((T3288+U3288+2*'Read Me'!$B$13)*(1+'Read Me'!$B$12),-1)</f>
        <v/>
      </c>
      <c r="W3288" s="15">
        <f>V3288*N3288*O3288</f>
        <v/>
      </c>
      <c r="X3288" s="12">
        <f>IF(LEFT(I3288,2)="MV",2*N3288*IF(L3288="1/C",O3288,1),0)</f>
        <v/>
      </c>
      <c r="Y3288" s="12">
        <f>IF(OR(LEFT(K3288,4)="LVAX",LEFT(K3288,6)="MV15AX",LEFT(K3288,4)="CTAX",LEFT(K3288,2)="W|"),2*N3288*O3288,0)</f>
        <v/>
      </c>
      <c r="Z3288" s="12" t="inlineStr"/>
      <c r="AA3288" s="12">
        <f>N3288*O3288</f>
        <v/>
      </c>
    </row>
    <row r="3289">
      <c r="A3289" s="12" t="inlineStr">
        <is>
          <t>G-I-0015</t>
        </is>
      </c>
      <c r="B3289" s="12" t="inlineStr">
        <is>
          <t>G</t>
        </is>
      </c>
      <c r="C3289" s="12" t="inlineStr">
        <is>
          <t>Carbon capture</t>
        </is>
      </c>
      <c r="D3289" s="12" t="inlineStr">
        <is>
          <t>Analog instrument to JB JB-ABS-B-AI01: 20 x 1 pr (field cables)</t>
        </is>
      </c>
      <c r="E3289" s="12" t="inlineStr">
        <is>
          <t>ABS-B</t>
        </is>
      </c>
      <c r="F3289" s="12" t="inlineStr">
        <is>
          <t>Absorber B (62 ft dia x 262 ft, stack to 313 ft)</t>
        </is>
      </c>
      <c r="G3289" s="12" t="inlineStr">
        <is>
          <t>JB-ABS-B-AI01</t>
        </is>
      </c>
      <c r="H3289" s="12" t="inlineStr">
        <is>
          <t>Absorber B (62 ft dia x 262 ft, stack to 313 ft)</t>
        </is>
      </c>
      <c r="I3289" s="12" t="inlineStr">
        <is>
          <t>Instrumentation</t>
        </is>
      </c>
      <c r="J3289" s="12" t="inlineStr">
        <is>
          <t>Instrumentation PLTC / TC-ER 300 V, #18 twisted shielded pairs, overall shield</t>
        </is>
      </c>
      <c r="K3289" s="12" t="inlineStr">
        <is>
          <t>PLTC|1 pr|16</t>
        </is>
      </c>
      <c r="L3289" s="12" t="inlineStr">
        <is>
          <t>1 pr</t>
        </is>
      </c>
      <c r="M3289" s="12" t="inlineStr">
        <is>
          <t>16</t>
        </is>
      </c>
      <c r="N3289" s="12" t="n">
        <v>20</v>
      </c>
      <c r="O3289" s="12" t="n">
        <v>1</v>
      </c>
      <c r="P3289" s="12" t="n"/>
      <c r="Q3289" s="12" t="n"/>
      <c r="R3289" s="12" t="n"/>
      <c r="S3289" s="12" t="inlineStr">
        <is>
          <t>Tray / conduit</t>
        </is>
      </c>
      <c r="T3289" s="15" t="n">
        <v>212</v>
      </c>
      <c r="U3289" s="15" t="n">
        <v>10</v>
      </c>
      <c r="V3289" s="15">
        <f>ROUNDUP((T3289+U3289+2*'Read Me'!$B$13)*(1+'Read Me'!$B$12),-1)</f>
        <v/>
      </c>
      <c r="W3289" s="15">
        <f>V3289*N3289*O3289</f>
        <v/>
      </c>
      <c r="X3289" s="12">
        <f>IF(LEFT(I3289,2)="MV",2*N3289*IF(L3289="1/C",O3289,1),0)</f>
        <v/>
      </c>
      <c r="Y3289" s="12">
        <f>IF(OR(LEFT(K3289,4)="LVAX",LEFT(K3289,6)="MV15AX",LEFT(K3289,4)="CTAX",LEFT(K3289,2)="W|"),2*N3289*O3289,0)</f>
        <v/>
      </c>
      <c r="Z3289" s="12" t="inlineStr">
        <is>
          <t>device-to-JB field wiring, one cable per device</t>
        </is>
      </c>
      <c r="AA3289" s="12">
        <f>N3289*O3289</f>
        <v/>
      </c>
    </row>
    <row r="3290">
      <c r="A3290" s="12" t="inlineStr">
        <is>
          <t>G-I-0016</t>
        </is>
      </c>
      <c r="B3290" s="12" t="inlineStr">
        <is>
          <t>G</t>
        </is>
      </c>
      <c r="C3290" s="12" t="inlineStr">
        <is>
          <t>Carbon capture</t>
        </is>
      </c>
      <c r="D3290" s="12" t="inlineStr">
        <is>
          <t>Home run JB-ABS-B-AI01 to the control / marshalling room</t>
        </is>
      </c>
      <c r="E3290" s="12" t="inlineStr"/>
      <c r="F3290" s="12" t="inlineStr">
        <is>
          <t>CCS F&amp;G / control</t>
        </is>
      </c>
      <c r="G3290" s="12" t="inlineStr">
        <is>
          <t>JB-ABS-B-AI01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PLTC|24 pr|18</t>
        </is>
      </c>
      <c r="L3290" s="12" t="inlineStr">
        <is>
          <t>24 pr</t>
        </is>
      </c>
      <c r="M3290" s="12" t="inlineStr">
        <is>
          <t>18</t>
        </is>
      </c>
      <c r="N3290" s="12" t="n">
        <v>1</v>
      </c>
      <c r="O3290" s="12" t="n">
        <v>1</v>
      </c>
      <c r="P3290" s="12" t="n"/>
      <c r="Q3290" s="12" t="n"/>
      <c r="R3290" s="12" t="n"/>
      <c r="S3290" s="12" t="inlineStr">
        <is>
          <t>Tray</t>
        </is>
      </c>
      <c r="T3290" s="15" t="n">
        <v>779</v>
      </c>
      <c r="U3290" s="15" t="n">
        <v>149</v>
      </c>
      <c r="V3290" s="15">
        <f>ROUNDUP((T3290+U3290+2*'Read Me'!$B$13)*(1+'Read Me'!$B$12),-1)</f>
        <v/>
      </c>
      <c r="W3290" s="15">
        <f>V3290*N3290*O3290</f>
        <v/>
      </c>
      <c r="X3290" s="12">
        <f>IF(LEFT(I3290,2)="MV",2*N3290*IF(L3290="1/C",O3290,1),0)</f>
        <v/>
      </c>
      <c r="Y3290" s="12">
        <f>IF(OR(LEFT(K3290,4)="LVAX",LEFT(K3290,6)="MV15AX",LEFT(K3290,4)="CTAX",LEFT(K3290,2)="W|"),2*N3290*O3290,0)</f>
        <v/>
      </c>
      <c r="Z3290" s="12" t="inlineStr"/>
      <c r="AA3290" s="12">
        <f>N3290*O3290</f>
        <v/>
      </c>
    </row>
    <row r="3291">
      <c r="A3291" s="12" t="inlineStr">
        <is>
          <t>G-I-0017</t>
        </is>
      </c>
      <c r="B3291" s="12" t="inlineStr">
        <is>
          <t>G</t>
        </is>
      </c>
      <c r="C3291" s="12" t="inlineStr">
        <is>
          <t>Carbon capture</t>
        </is>
      </c>
      <c r="D3291" s="12" t="inlineStr">
        <is>
          <t>Analog instrument to JB JB-ABS-B-AI02: 20 x 1 pr (field cables)</t>
        </is>
      </c>
      <c r="E3291" s="12" t="inlineStr">
        <is>
          <t>ABS-B</t>
        </is>
      </c>
      <c r="F3291" s="12" t="inlineStr">
        <is>
          <t>Absorber B (62 ft dia x 262 ft, stack to 313 ft)</t>
        </is>
      </c>
      <c r="G3291" s="12" t="inlineStr">
        <is>
          <t>JB-ABS-B-AI02</t>
        </is>
      </c>
      <c r="H3291" s="12" t="inlineStr">
        <is>
          <t>Absorber B (62 ft dia x 262 ft, stack to 313 ft)</t>
        </is>
      </c>
      <c r="I3291" s="12" t="inlineStr">
        <is>
          <t>Instrumentation</t>
        </is>
      </c>
      <c r="J3291" s="12" t="inlineStr">
        <is>
          <t>Instrumentation PLTC / TC-ER 300 V, #18 twisted shielded pairs, overall shield</t>
        </is>
      </c>
      <c r="K3291" s="12" t="inlineStr">
        <is>
          <t>PLTC|1 pr|16</t>
        </is>
      </c>
      <c r="L3291" s="12" t="inlineStr">
        <is>
          <t>1 pr</t>
        </is>
      </c>
      <c r="M3291" s="12" t="inlineStr">
        <is>
          <t>16</t>
        </is>
      </c>
      <c r="N3291" s="12" t="n">
        <v>20</v>
      </c>
      <c r="O3291" s="12" t="n">
        <v>1</v>
      </c>
      <c r="P3291" s="12" t="n"/>
      <c r="Q3291" s="12" t="n"/>
      <c r="R3291" s="12" t="n"/>
      <c r="S3291" s="12" t="inlineStr">
        <is>
          <t>Tray / conduit</t>
        </is>
      </c>
      <c r="T3291" s="15" t="n">
        <v>212</v>
      </c>
      <c r="U3291" s="15" t="n">
        <v>10</v>
      </c>
      <c r="V3291" s="15">
        <f>ROUNDUP((T3291+U3291+2*'Read Me'!$B$13)*(1+'Read Me'!$B$12),-1)</f>
        <v/>
      </c>
      <c r="W3291" s="15">
        <f>V3291*N3291*O3291</f>
        <v/>
      </c>
      <c r="X3291" s="12">
        <f>IF(LEFT(I3291,2)="MV",2*N3291*IF(L3291="1/C",O3291,1),0)</f>
        <v/>
      </c>
      <c r="Y3291" s="12">
        <f>IF(OR(LEFT(K3291,4)="LVAX",LEFT(K3291,6)="MV15AX",LEFT(K3291,4)="CTAX",LEFT(K3291,2)="W|"),2*N3291*O3291,0)</f>
        <v/>
      </c>
      <c r="Z3291" s="12" t="inlineStr">
        <is>
          <t>device-to-JB field wiring, one cable per device</t>
        </is>
      </c>
      <c r="AA3291" s="12">
        <f>N3291*O3291</f>
        <v/>
      </c>
    </row>
    <row r="3292">
      <c r="A3292" s="12" t="inlineStr">
        <is>
          <t>G-I-0018</t>
        </is>
      </c>
      <c r="B3292" s="12" t="inlineStr">
        <is>
          <t>G</t>
        </is>
      </c>
      <c r="C3292" s="12" t="inlineStr">
        <is>
          <t>Carbon capture</t>
        </is>
      </c>
      <c r="D3292" s="12" t="inlineStr">
        <is>
          <t>Home run JB-ABS-B-AI02 to the control / marshalling room</t>
        </is>
      </c>
      <c r="E3292" s="12" t="inlineStr"/>
      <c r="F3292" s="12" t="inlineStr">
        <is>
          <t>CCS F&amp;G / control</t>
        </is>
      </c>
      <c r="G3292" s="12" t="inlineStr">
        <is>
          <t>JB-ABS-B-AI02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PLTC|24 pr|18</t>
        </is>
      </c>
      <c r="L3292" s="12" t="inlineStr">
        <is>
          <t>24 pr</t>
        </is>
      </c>
      <c r="M3292" s="12" t="inlineStr">
        <is>
          <t>18</t>
        </is>
      </c>
      <c r="N3292" s="12" t="n">
        <v>1</v>
      </c>
      <c r="O3292" s="12" t="n">
        <v>1</v>
      </c>
      <c r="P3292" s="12" t="n"/>
      <c r="Q3292" s="12" t="n"/>
      <c r="R3292" s="12" t="n"/>
      <c r="S3292" s="12" t="inlineStr">
        <is>
          <t>Tray</t>
        </is>
      </c>
      <c r="T3292" s="15" t="n">
        <v>779</v>
      </c>
      <c r="U3292" s="15" t="n">
        <v>149</v>
      </c>
      <c r="V3292" s="15">
        <f>ROUNDUP((T3292+U3292+2*'Read Me'!$B$13)*(1+'Read Me'!$B$12),-1)</f>
        <v/>
      </c>
      <c r="W3292" s="15">
        <f>V3292*N3292*O3292</f>
        <v/>
      </c>
      <c r="X3292" s="12">
        <f>IF(LEFT(I3292,2)="MV",2*N3292*IF(L3292="1/C",O3292,1),0)</f>
        <v/>
      </c>
      <c r="Y3292" s="12">
        <f>IF(OR(LEFT(K3292,4)="LVAX",LEFT(K3292,6)="MV15AX",LEFT(K3292,4)="CTAX",LEFT(K3292,2)="W|"),2*N3292*O3292,0)</f>
        <v/>
      </c>
      <c r="Z3292" s="12" t="inlineStr"/>
      <c r="AA3292" s="12">
        <f>N3292*O3292</f>
        <v/>
      </c>
    </row>
    <row r="3293">
      <c r="A3293" s="12" t="inlineStr">
        <is>
          <t>G-I-0019</t>
        </is>
      </c>
      <c r="B3293" s="12" t="inlineStr">
        <is>
          <t>G</t>
        </is>
      </c>
      <c r="C3293" s="12" t="inlineStr">
        <is>
          <t>Carbon capture</t>
        </is>
      </c>
      <c r="D3293" s="12" t="inlineStr">
        <is>
          <t>Analog instrument to JB JB-ABS-B-AI03: 20 x 1 pr (field cables)</t>
        </is>
      </c>
      <c r="E3293" s="12" t="inlineStr">
        <is>
          <t>ABS-B</t>
        </is>
      </c>
      <c r="F3293" s="12" t="inlineStr">
        <is>
          <t>Absorber B (62 ft dia x 262 ft, stack to 313 ft)</t>
        </is>
      </c>
      <c r="G3293" s="12" t="inlineStr">
        <is>
          <t>JB-ABS-B-AI03</t>
        </is>
      </c>
      <c r="H3293" s="12" t="inlineStr">
        <is>
          <t>Absorber B (62 ft dia x 262 ft, stack to 313 ft)</t>
        </is>
      </c>
      <c r="I3293" s="12" t="inlineStr">
        <is>
          <t>Instrumentation</t>
        </is>
      </c>
      <c r="J3293" s="12" t="inlineStr">
        <is>
          <t>Instrumentation PLTC / TC-ER 300 V, #18 twisted shielded pairs, overall shield</t>
        </is>
      </c>
      <c r="K3293" s="12" t="inlineStr">
        <is>
          <t>PLTC|1 pr|16</t>
        </is>
      </c>
      <c r="L3293" s="12" t="inlineStr">
        <is>
          <t>1 pr</t>
        </is>
      </c>
      <c r="M3293" s="12" t="inlineStr">
        <is>
          <t>16</t>
        </is>
      </c>
      <c r="N3293" s="12" t="n">
        <v>20</v>
      </c>
      <c r="O3293" s="12" t="n">
        <v>1</v>
      </c>
      <c r="P3293" s="12" t="n"/>
      <c r="Q3293" s="12" t="n"/>
      <c r="R3293" s="12" t="n"/>
      <c r="S3293" s="12" t="inlineStr">
        <is>
          <t>Tray / conduit</t>
        </is>
      </c>
      <c r="T3293" s="15" t="n">
        <v>212</v>
      </c>
      <c r="U3293" s="15" t="n">
        <v>10</v>
      </c>
      <c r="V3293" s="15">
        <f>ROUNDUP((T3293+U3293+2*'Read Me'!$B$13)*(1+'Read Me'!$B$12),-1)</f>
        <v/>
      </c>
      <c r="W3293" s="15">
        <f>V3293*N3293*O3293</f>
        <v/>
      </c>
      <c r="X3293" s="12">
        <f>IF(LEFT(I3293,2)="MV",2*N3293*IF(L3293="1/C",O3293,1),0)</f>
        <v/>
      </c>
      <c r="Y3293" s="12">
        <f>IF(OR(LEFT(K3293,4)="LVAX",LEFT(K3293,6)="MV15AX",LEFT(K3293,4)="CTAX",LEFT(K3293,2)="W|"),2*N3293*O3293,0)</f>
        <v/>
      </c>
      <c r="Z3293" s="12" t="inlineStr">
        <is>
          <t>device-to-JB field wiring, one cable per device</t>
        </is>
      </c>
      <c r="AA3293" s="12">
        <f>N3293*O3293</f>
        <v/>
      </c>
    </row>
    <row r="3294">
      <c r="A3294" s="12" t="inlineStr">
        <is>
          <t>G-I-0020</t>
        </is>
      </c>
      <c r="B3294" s="12" t="inlineStr">
        <is>
          <t>G</t>
        </is>
      </c>
      <c r="C3294" s="12" t="inlineStr">
        <is>
          <t>Carbon capture</t>
        </is>
      </c>
      <c r="D3294" s="12" t="inlineStr">
        <is>
          <t>Home run JB-ABS-B-AI03 to the control / marshalling room</t>
        </is>
      </c>
      <c r="E3294" s="12" t="inlineStr"/>
      <c r="F3294" s="12" t="inlineStr">
        <is>
          <t>CCS F&amp;G / control</t>
        </is>
      </c>
      <c r="G3294" s="12" t="inlineStr">
        <is>
          <t>JB-ABS-B-AI03</t>
        </is>
      </c>
      <c r="H3294" s="12" t="inlineStr">
        <is>
          <t>Absorber B (62 ft dia x 262 ft, stack to 313 ft)</t>
        </is>
      </c>
      <c r="I3294" s="12" t="inlineStr">
        <is>
          <t>Instrumentation</t>
        </is>
      </c>
      <c r="J3294" s="12" t="inlineStr">
        <is>
          <t>Instrumentation PLTC / TC-ER 300 V, #18 twisted shielded pairs, overall shield</t>
        </is>
      </c>
      <c r="K3294" s="12" t="inlineStr">
        <is>
          <t>PLTC|24 pr|18</t>
        </is>
      </c>
      <c r="L3294" s="12" t="inlineStr">
        <is>
          <t>24 pr</t>
        </is>
      </c>
      <c r="M3294" s="12" t="inlineStr">
        <is>
          <t>18</t>
        </is>
      </c>
      <c r="N3294" s="12" t="n">
        <v>1</v>
      </c>
      <c r="O3294" s="12" t="n">
        <v>1</v>
      </c>
      <c r="P3294" s="12" t="n"/>
      <c r="Q3294" s="12" t="n"/>
      <c r="R3294" s="12" t="n"/>
      <c r="S3294" s="12" t="inlineStr">
        <is>
          <t>Tray</t>
        </is>
      </c>
      <c r="T3294" s="15" t="n">
        <v>779</v>
      </c>
      <c r="U3294" s="15" t="n">
        <v>149</v>
      </c>
      <c r="V3294" s="15">
        <f>ROUNDUP((T3294+U3294+2*'Read Me'!$B$13)*(1+'Read Me'!$B$12),-1)</f>
        <v/>
      </c>
      <c r="W3294" s="15">
        <f>V3294*N3294*O3294</f>
        <v/>
      </c>
      <c r="X3294" s="12">
        <f>IF(LEFT(I3294,2)="MV",2*N3294*IF(L3294="1/C",O3294,1),0)</f>
        <v/>
      </c>
      <c r="Y3294" s="12">
        <f>IF(OR(LEFT(K3294,4)="LVAX",LEFT(K3294,6)="MV15AX",LEFT(K3294,4)="CTAX",LEFT(K3294,2)="W|"),2*N3294*O3294,0)</f>
        <v/>
      </c>
      <c r="Z3294" s="12" t="inlineStr"/>
      <c r="AA3294" s="12">
        <f>N3294*O3294</f>
        <v/>
      </c>
    </row>
    <row r="3295">
      <c r="A3295" s="12" t="inlineStr">
        <is>
          <t>G-I-0021</t>
        </is>
      </c>
      <c r="B3295" s="12" t="inlineStr">
        <is>
          <t>G</t>
        </is>
      </c>
      <c r="C3295" s="12" t="inlineStr">
        <is>
          <t>Carbon capture</t>
        </is>
      </c>
      <c r="D3295" s="12" t="inlineStr">
        <is>
          <t>Discrete device to JB JB-ABS-B-DI01: 20 x 1 pr (field cables)</t>
        </is>
      </c>
      <c r="E3295" s="12" t="inlineStr">
        <is>
          <t>ABS-B</t>
        </is>
      </c>
      <c r="F3295" s="12" t="inlineStr">
        <is>
          <t>Absorber B (62 ft dia x 262 ft, stack to 313 ft)</t>
        </is>
      </c>
      <c r="G3295" s="12" t="inlineStr">
        <is>
          <t>JB-ABS-B-DI01</t>
        </is>
      </c>
      <c r="H3295" s="12" t="inlineStr">
        <is>
          <t>Absorber B (62 ft dia x 262 ft, stack to 313 ft)</t>
        </is>
      </c>
      <c r="I3295" s="12" t="inlineStr">
        <is>
          <t>Instrumentation</t>
        </is>
      </c>
      <c r="J3295" s="12" t="inlineStr">
        <is>
          <t>Instrumentation PLTC / TC-ER 300 V, #18 twisted shielded pairs, overall shield</t>
        </is>
      </c>
      <c r="K3295" s="12" t="inlineStr">
        <is>
          <t>PLTC|1 pr|16</t>
        </is>
      </c>
      <c r="L3295" s="12" t="inlineStr">
        <is>
          <t>1 pr</t>
        </is>
      </c>
      <c r="M3295" s="12" t="inlineStr">
        <is>
          <t>16</t>
        </is>
      </c>
      <c r="N3295" s="12" t="n">
        <v>20</v>
      </c>
      <c r="O3295" s="12" t="n">
        <v>1</v>
      </c>
      <c r="P3295" s="12" t="n"/>
      <c r="Q3295" s="12" t="n"/>
      <c r="R3295" s="12" t="n"/>
      <c r="S3295" s="12" t="inlineStr">
        <is>
          <t>Tray / conduit</t>
        </is>
      </c>
      <c r="T3295" s="15" t="n">
        <v>212</v>
      </c>
      <c r="U3295" s="15" t="n">
        <v>10</v>
      </c>
      <c r="V3295" s="15">
        <f>ROUNDUP((T3295+U3295+2*'Read Me'!$B$13)*(1+'Read Me'!$B$12),-1)</f>
        <v/>
      </c>
      <c r="W3295" s="15">
        <f>V3295*N3295*O3295</f>
        <v/>
      </c>
      <c r="X3295" s="12">
        <f>IF(LEFT(I3295,2)="MV",2*N3295*IF(L3295="1/C",O3295,1),0)</f>
        <v/>
      </c>
      <c r="Y3295" s="12">
        <f>IF(OR(LEFT(K3295,4)="LVAX",LEFT(K3295,6)="MV15AX",LEFT(K3295,4)="CTAX",LEFT(K3295,2)="W|"),2*N3295*O3295,0)</f>
        <v/>
      </c>
      <c r="Z3295" s="12" t="inlineStr">
        <is>
          <t>device-to-JB field wiring, one cable per device</t>
        </is>
      </c>
      <c r="AA3295" s="12">
        <f>N3295*O3295</f>
        <v/>
      </c>
    </row>
    <row r="3296">
      <c r="A3296" s="12" t="inlineStr">
        <is>
          <t>G-I-0022</t>
        </is>
      </c>
      <c r="B3296" s="12" t="inlineStr">
        <is>
          <t>G</t>
        </is>
      </c>
      <c r="C3296" s="12" t="inlineStr">
        <is>
          <t>Carbon capture</t>
        </is>
      </c>
      <c r="D3296" s="12" t="inlineStr">
        <is>
          <t>Home run JB-ABS-B-DI01 to the control / marshalling room</t>
        </is>
      </c>
      <c r="E3296" s="12" t="inlineStr"/>
      <c r="F3296" s="12" t="inlineStr">
        <is>
          <t>CCS F&amp;G / control</t>
        </is>
      </c>
      <c r="G3296" s="12" t="inlineStr">
        <is>
          <t>JB-ABS-B-DI01</t>
        </is>
      </c>
      <c r="H3296" s="12" t="inlineStr">
        <is>
          <t>Absorber B (62 ft dia x 262 ft, stack to 313 ft)</t>
        </is>
      </c>
      <c r="I3296" s="12" t="inlineStr">
        <is>
          <t>Instrumentation</t>
        </is>
      </c>
      <c r="J3296" s="12" t="inlineStr">
        <is>
          <t>Instrumentation PLTC / TC-ER 300 V, #18 twisted shielded pairs, overall shield</t>
        </is>
      </c>
      <c r="K3296" s="12" t="inlineStr">
        <is>
          <t>PLTC|24 pr|18</t>
        </is>
      </c>
      <c r="L3296" s="12" t="inlineStr">
        <is>
          <t>24 pr</t>
        </is>
      </c>
      <c r="M3296" s="12" t="inlineStr">
        <is>
          <t>18</t>
        </is>
      </c>
      <c r="N3296" s="12" t="n">
        <v>1</v>
      </c>
      <c r="O3296" s="12" t="n">
        <v>1</v>
      </c>
      <c r="P3296" s="12" t="n"/>
      <c r="Q3296" s="12" t="n"/>
      <c r="R3296" s="12" t="n"/>
      <c r="S3296" s="12" t="inlineStr">
        <is>
          <t>Tray</t>
        </is>
      </c>
      <c r="T3296" s="15" t="n">
        <v>779</v>
      </c>
      <c r="U3296" s="15" t="n">
        <v>149</v>
      </c>
      <c r="V3296" s="15">
        <f>ROUNDUP((T3296+U3296+2*'Read Me'!$B$13)*(1+'Read Me'!$B$12),-1)</f>
        <v/>
      </c>
      <c r="W3296" s="15">
        <f>V3296*N3296*O3296</f>
        <v/>
      </c>
      <c r="X3296" s="12">
        <f>IF(LEFT(I3296,2)="MV",2*N3296*IF(L3296="1/C",O3296,1),0)</f>
        <v/>
      </c>
      <c r="Y3296" s="12">
        <f>IF(OR(LEFT(K3296,4)="LVAX",LEFT(K3296,6)="MV15AX",LEFT(K3296,4)="CTAX",LEFT(K3296,2)="W|"),2*N3296*O3296,0)</f>
        <v/>
      </c>
      <c r="Z3296" s="12" t="inlineStr"/>
      <c r="AA3296" s="12">
        <f>N3296*O3296</f>
        <v/>
      </c>
    </row>
    <row r="3297">
      <c r="A3297" s="12" t="inlineStr">
        <is>
          <t>G-I-0023</t>
        </is>
      </c>
      <c r="B3297" s="12" t="inlineStr">
        <is>
          <t>G</t>
        </is>
      </c>
      <c r="C3297" s="12" t="inlineStr">
        <is>
          <t>Carbon capture</t>
        </is>
      </c>
      <c r="D3297" s="12" t="inlineStr">
        <is>
          <t>Discrete device to JB JB-ABS-B-DI02: 20 x 1 pr (field cables)</t>
        </is>
      </c>
      <c r="E3297" s="12" t="inlineStr">
        <is>
          <t>ABS-B</t>
        </is>
      </c>
      <c r="F3297" s="12" t="inlineStr">
        <is>
          <t>Absorber B (62 ft dia x 262 ft, stack to 313 ft)</t>
        </is>
      </c>
      <c r="G3297" s="12" t="inlineStr">
        <is>
          <t>JB-ABS-B-DI02</t>
        </is>
      </c>
      <c r="H3297" s="12" t="inlineStr">
        <is>
          <t>Absorber B (62 ft dia x 262 ft, stack to 313 ft)</t>
        </is>
      </c>
      <c r="I3297" s="12" t="inlineStr">
        <is>
          <t>Instrumentation</t>
        </is>
      </c>
      <c r="J3297" s="12" t="inlineStr">
        <is>
          <t>Instrumentation PLTC / TC-ER 300 V, #18 twisted shielded pairs, overall shield</t>
        </is>
      </c>
      <c r="K3297" s="12" t="inlineStr">
        <is>
          <t>PLTC|1 pr|16</t>
        </is>
      </c>
      <c r="L3297" s="12" t="inlineStr">
        <is>
          <t>1 pr</t>
        </is>
      </c>
      <c r="M3297" s="12" t="inlineStr">
        <is>
          <t>16</t>
        </is>
      </c>
      <c r="N3297" s="12" t="n">
        <v>20</v>
      </c>
      <c r="O3297" s="12" t="n">
        <v>1</v>
      </c>
      <c r="P3297" s="12" t="n"/>
      <c r="Q3297" s="12" t="n"/>
      <c r="R3297" s="12" t="n"/>
      <c r="S3297" s="12" t="inlineStr">
        <is>
          <t>Tray / conduit</t>
        </is>
      </c>
      <c r="T3297" s="15" t="n">
        <v>212</v>
      </c>
      <c r="U3297" s="15" t="n">
        <v>10</v>
      </c>
      <c r="V3297" s="15">
        <f>ROUNDUP((T3297+U3297+2*'Read Me'!$B$13)*(1+'Read Me'!$B$12),-1)</f>
        <v/>
      </c>
      <c r="W3297" s="15">
        <f>V3297*N3297*O3297</f>
        <v/>
      </c>
      <c r="X3297" s="12">
        <f>IF(LEFT(I3297,2)="MV",2*N3297*IF(L3297="1/C",O3297,1),0)</f>
        <v/>
      </c>
      <c r="Y3297" s="12">
        <f>IF(OR(LEFT(K3297,4)="LVAX",LEFT(K3297,6)="MV15AX",LEFT(K3297,4)="CTAX",LEFT(K3297,2)="W|"),2*N3297*O3297,0)</f>
        <v/>
      </c>
      <c r="Z3297" s="12" t="inlineStr">
        <is>
          <t>device-to-JB field wiring, one cable per device</t>
        </is>
      </c>
      <c r="AA3297" s="12">
        <f>N3297*O3297</f>
        <v/>
      </c>
    </row>
    <row r="3298">
      <c r="A3298" s="12" t="inlineStr">
        <is>
          <t>G-I-0024</t>
        </is>
      </c>
      <c r="B3298" s="12" t="inlineStr">
        <is>
          <t>G</t>
        </is>
      </c>
      <c r="C3298" s="12" t="inlineStr">
        <is>
          <t>Carbon capture</t>
        </is>
      </c>
      <c r="D3298" s="12" t="inlineStr">
        <is>
          <t>Home run JB-ABS-B-DI02 to the control / marshalling room</t>
        </is>
      </c>
      <c r="E3298" s="12" t="inlineStr"/>
      <c r="F3298" s="12" t="inlineStr">
        <is>
          <t>CCS F&amp;G / control</t>
        </is>
      </c>
      <c r="G3298" s="12" t="inlineStr">
        <is>
          <t>JB-ABS-B-DI02</t>
        </is>
      </c>
      <c r="H3298" s="12" t="inlineStr">
        <is>
          <t>Absorber B (62 ft dia x 262 ft, stack to 313 ft)</t>
        </is>
      </c>
      <c r="I3298" s="12" t="inlineStr">
        <is>
          <t>Instrumentation</t>
        </is>
      </c>
      <c r="J3298" s="12" t="inlineStr">
        <is>
          <t>Instrumentation PLTC / TC-ER 300 V, #18 twisted shielded pairs, overall shield</t>
        </is>
      </c>
      <c r="K3298" s="12" t="inlineStr">
        <is>
          <t>PLTC|24 pr|18</t>
        </is>
      </c>
      <c r="L3298" s="12" t="inlineStr">
        <is>
          <t>24 pr</t>
        </is>
      </c>
      <c r="M3298" s="12" t="inlineStr">
        <is>
          <t>18</t>
        </is>
      </c>
      <c r="N3298" s="12" t="n">
        <v>1</v>
      </c>
      <c r="O3298" s="12" t="n">
        <v>1</v>
      </c>
      <c r="P3298" s="12" t="n"/>
      <c r="Q3298" s="12" t="n"/>
      <c r="R3298" s="12" t="n"/>
      <c r="S3298" s="12" t="inlineStr">
        <is>
          <t>Tray</t>
        </is>
      </c>
      <c r="T3298" s="15" t="n">
        <v>779</v>
      </c>
      <c r="U3298" s="15" t="n">
        <v>149</v>
      </c>
      <c r="V3298" s="15">
        <f>ROUNDUP((T3298+U3298+2*'Read Me'!$B$13)*(1+'Read Me'!$B$12),-1)</f>
        <v/>
      </c>
      <c r="W3298" s="15">
        <f>V3298*N3298*O3298</f>
        <v/>
      </c>
      <c r="X3298" s="12">
        <f>IF(LEFT(I3298,2)="MV",2*N3298*IF(L3298="1/C",O3298,1),0)</f>
        <v/>
      </c>
      <c r="Y3298" s="12">
        <f>IF(OR(LEFT(K3298,4)="LVAX",LEFT(K3298,6)="MV15AX",LEFT(K3298,4)="CTAX",LEFT(K3298,2)="W|"),2*N3298*O3298,0)</f>
        <v/>
      </c>
      <c r="Z3298" s="12" t="inlineStr"/>
      <c r="AA3298" s="12">
        <f>N3298*O3298</f>
        <v/>
      </c>
    </row>
    <row r="3299">
      <c r="A3299" s="12" t="inlineStr">
        <is>
          <t>G-I-0025</t>
        </is>
      </c>
      <c r="B3299" s="12" t="inlineStr">
        <is>
          <t>G</t>
        </is>
      </c>
      <c r="C3299" s="12" t="inlineStr">
        <is>
          <t>Carbon capture</t>
        </is>
      </c>
      <c r="D3299" s="12" t="inlineStr">
        <is>
          <t>Analog instrument to JB JB-Absorber B interco-AI01: 15 x 1 pr (field cables)</t>
        </is>
      </c>
      <c r="E3299" s="12" t="inlineStr"/>
      <c r="F3299" s="12" t="inlineStr">
        <is>
          <t>Absorber B intercooler (pumps + plate exchanger)</t>
        </is>
      </c>
      <c r="G3299" s="12" t="inlineStr">
        <is>
          <t>JB-Absorber B interco-AI01</t>
        </is>
      </c>
      <c r="H3299" s="12" t="inlineStr">
        <is>
          <t>Absorber B intercooler (pumps + plate exchanger)</t>
        </is>
      </c>
      <c r="I3299" s="12" t="inlineStr">
        <is>
          <t>Instrumentation</t>
        </is>
      </c>
      <c r="J3299" s="12" t="inlineStr">
        <is>
          <t>Instrumentation PLTC / TC-ER 300 V, #18 twisted shielded pairs, overall shield</t>
        </is>
      </c>
      <c r="K3299" s="12" t="inlineStr">
        <is>
          <t>PLTC|1 pr|16</t>
        </is>
      </c>
      <c r="L3299" s="12" t="inlineStr">
        <is>
          <t>1 pr</t>
        </is>
      </c>
      <c r="M3299" s="12" t="inlineStr">
        <is>
          <t>16</t>
        </is>
      </c>
      <c r="N3299" s="12" t="n">
        <v>15</v>
      </c>
      <c r="O3299" s="12" t="n">
        <v>1</v>
      </c>
      <c r="P3299" s="12" t="n"/>
      <c r="Q3299" s="12" t="n"/>
      <c r="R3299" s="12" t="n"/>
      <c r="S3299" s="12" t="inlineStr">
        <is>
          <t>Tray / conduit</t>
        </is>
      </c>
      <c r="T3299" s="15" t="n">
        <v>55</v>
      </c>
      <c r="U3299" s="15" t="n">
        <v>10</v>
      </c>
      <c r="V3299" s="15">
        <f>ROUNDUP((T3299+U3299+2*'Read Me'!$B$13)*(1+'Read Me'!$B$12),-1)</f>
        <v/>
      </c>
      <c r="W3299" s="15">
        <f>V3299*N3299*O3299</f>
        <v/>
      </c>
      <c r="X3299" s="12">
        <f>IF(LEFT(I3299,2)="MV",2*N3299*IF(L3299="1/C",O3299,1),0)</f>
        <v/>
      </c>
      <c r="Y3299" s="12">
        <f>IF(OR(LEFT(K3299,4)="LVAX",LEFT(K3299,6)="MV15AX",LEFT(K3299,4)="CTAX",LEFT(K3299,2)="W|"),2*N3299*O3299,0)</f>
        <v/>
      </c>
      <c r="Z3299" s="12" t="inlineStr">
        <is>
          <t>device-to-JB field wiring, one cable per device</t>
        </is>
      </c>
      <c r="AA3299" s="12">
        <f>N3299*O3299</f>
        <v/>
      </c>
    </row>
    <row r="3300">
      <c r="A3300" s="12" t="inlineStr">
        <is>
          <t>G-I-0026</t>
        </is>
      </c>
      <c r="B3300" s="12" t="inlineStr">
        <is>
          <t>G</t>
        </is>
      </c>
      <c r="C3300" s="12" t="inlineStr">
        <is>
          <t>Carbon capture</t>
        </is>
      </c>
      <c r="D3300" s="12" t="inlineStr">
        <is>
          <t>Home run JB-Absorber B interco-AI01 to the control / marshalling room</t>
        </is>
      </c>
      <c r="E3300" s="12" t="inlineStr"/>
      <c r="F3300" s="12" t="inlineStr">
        <is>
          <t>CCS F&amp;G / control</t>
        </is>
      </c>
      <c r="G3300" s="12" t="inlineStr">
        <is>
          <t>JB-Absorber B interco-AI01</t>
        </is>
      </c>
      <c r="H3300" s="12" t="inlineStr">
        <is>
          <t>Absorber B intercooler (pumps + plate exchanger)</t>
        </is>
      </c>
      <c r="I3300" s="12" t="inlineStr">
        <is>
          <t>Instrumentation</t>
        </is>
      </c>
      <c r="J3300" s="12" t="inlineStr">
        <is>
          <t>Instrumentation PLTC / TC-ER 300 V, #18 twisted shielded pairs, overall shield</t>
        </is>
      </c>
      <c r="K3300" s="12" t="inlineStr">
        <is>
          <t>PLTC|24 pr|18</t>
        </is>
      </c>
      <c r="L3300" s="12" t="inlineStr">
        <is>
          <t>24 pr</t>
        </is>
      </c>
      <c r="M3300" s="12" t="inlineStr">
        <is>
          <t>18</t>
        </is>
      </c>
      <c r="N3300" s="12" t="n">
        <v>1</v>
      </c>
      <c r="O3300" s="12" t="n">
        <v>1</v>
      </c>
      <c r="P3300" s="12" t="n"/>
      <c r="Q3300" s="12" t="n"/>
      <c r="R3300" s="12" t="n"/>
      <c r="S3300" s="12" t="inlineStr">
        <is>
          <t>Tray</t>
        </is>
      </c>
      <c r="T3300" s="15" t="n">
        <v>761</v>
      </c>
      <c r="U3300" s="15" t="n">
        <v>150</v>
      </c>
      <c r="V3300" s="15">
        <f>ROUNDUP((T3300+U3300+2*'Read Me'!$B$13)*(1+'Read Me'!$B$12),-1)</f>
        <v/>
      </c>
      <c r="W3300" s="15">
        <f>V3300*N3300*O3300</f>
        <v/>
      </c>
      <c r="X3300" s="12">
        <f>IF(LEFT(I3300,2)="MV",2*N3300*IF(L3300="1/C",O3300,1),0)</f>
        <v/>
      </c>
      <c r="Y3300" s="12">
        <f>IF(OR(LEFT(K3300,4)="LVAX",LEFT(K3300,6)="MV15AX",LEFT(K3300,4)="CTAX",LEFT(K3300,2)="W|"),2*N3300*O3300,0)</f>
        <v/>
      </c>
      <c r="Z3300" s="12" t="inlineStr"/>
      <c r="AA3300" s="12">
        <f>N3300*O3300</f>
        <v/>
      </c>
    </row>
    <row r="3301">
      <c r="A3301" s="12" t="inlineStr">
        <is>
          <t>G-I-0027</t>
        </is>
      </c>
      <c r="B3301" s="12" t="inlineStr">
        <is>
          <t>G</t>
        </is>
      </c>
      <c r="C3301" s="12" t="inlineStr">
        <is>
          <t>Carbon capture</t>
        </is>
      </c>
      <c r="D3301" s="12" t="inlineStr">
        <is>
          <t>Discrete device to JB JB-Absorber B interco-DI01: 15 x 1 pr (field cables)</t>
        </is>
      </c>
      <c r="E3301" s="12" t="inlineStr"/>
      <c r="F3301" s="12" t="inlineStr">
        <is>
          <t>Absorber B intercooler (pumps + plate exchanger)</t>
        </is>
      </c>
      <c r="G3301" s="12" t="inlineStr">
        <is>
          <t>JB-Absorber B interco-DI01</t>
        </is>
      </c>
      <c r="H3301" s="12" t="inlineStr">
        <is>
          <t>Absorber B intercooler (pumps + plate exchanger)</t>
        </is>
      </c>
      <c r="I3301" s="12" t="inlineStr">
        <is>
          <t>Instrumentation</t>
        </is>
      </c>
      <c r="J3301" s="12" t="inlineStr">
        <is>
          <t>Instrumentation PLTC / TC-ER 300 V, #18 twisted shielded pairs, overall shield</t>
        </is>
      </c>
      <c r="K3301" s="12" t="inlineStr">
        <is>
          <t>PLTC|1 pr|16</t>
        </is>
      </c>
      <c r="L3301" s="12" t="inlineStr">
        <is>
          <t>1 pr</t>
        </is>
      </c>
      <c r="M3301" s="12" t="inlineStr">
        <is>
          <t>16</t>
        </is>
      </c>
      <c r="N3301" s="12" t="n">
        <v>15</v>
      </c>
      <c r="O3301" s="12" t="n">
        <v>1</v>
      </c>
      <c r="P3301" s="12" t="n"/>
      <c r="Q3301" s="12" t="n"/>
      <c r="R3301" s="12" t="n"/>
      <c r="S3301" s="12" t="inlineStr">
        <is>
          <t>Tray / conduit</t>
        </is>
      </c>
      <c r="T3301" s="15" t="n">
        <v>55</v>
      </c>
      <c r="U3301" s="15" t="n">
        <v>10</v>
      </c>
      <c r="V3301" s="15">
        <f>ROUNDUP((T3301+U3301+2*'Read Me'!$B$13)*(1+'Read Me'!$B$12),-1)</f>
        <v/>
      </c>
      <c r="W3301" s="15">
        <f>V3301*N3301*O3301</f>
        <v/>
      </c>
      <c r="X3301" s="12">
        <f>IF(LEFT(I3301,2)="MV",2*N3301*IF(L3301="1/C",O3301,1),0)</f>
        <v/>
      </c>
      <c r="Y3301" s="12">
        <f>IF(OR(LEFT(K3301,4)="LVAX",LEFT(K3301,6)="MV15AX",LEFT(K3301,4)="CTAX",LEFT(K3301,2)="W|"),2*N3301*O3301,0)</f>
        <v/>
      </c>
      <c r="Z3301" s="12" t="inlineStr">
        <is>
          <t>device-to-JB field wiring, one cable per device</t>
        </is>
      </c>
      <c r="AA3301" s="12">
        <f>N3301*O3301</f>
        <v/>
      </c>
    </row>
    <row r="3302">
      <c r="A3302" s="12" t="inlineStr">
        <is>
          <t>G-I-0028</t>
        </is>
      </c>
      <c r="B3302" s="12" t="inlineStr">
        <is>
          <t>G</t>
        </is>
      </c>
      <c r="C3302" s="12" t="inlineStr">
        <is>
          <t>Carbon capture</t>
        </is>
      </c>
      <c r="D3302" s="12" t="inlineStr">
        <is>
          <t>Home run JB-Absorber B interco-DI01 to the control / marshalling room</t>
        </is>
      </c>
      <c r="E3302" s="12" t="inlineStr"/>
      <c r="F3302" s="12" t="inlineStr">
        <is>
          <t>CCS F&amp;G / control</t>
        </is>
      </c>
      <c r="G3302" s="12" t="inlineStr">
        <is>
          <t>JB-Absorber B interco-DI01</t>
        </is>
      </c>
      <c r="H3302" s="12" t="inlineStr">
        <is>
          <t>Absorber B intercooler (pumps + plate exchanger)</t>
        </is>
      </c>
      <c r="I3302" s="12" t="inlineStr">
        <is>
          <t>Instrumentation</t>
        </is>
      </c>
      <c r="J3302" s="12" t="inlineStr">
        <is>
          <t>Instrumentation PLTC / TC-ER 300 V, #18 twisted shielded pairs, overall shield</t>
        </is>
      </c>
      <c r="K3302" s="12" t="inlineStr">
        <is>
          <t>PLTC|24 pr|18</t>
        </is>
      </c>
      <c r="L3302" s="12" t="inlineStr">
        <is>
          <t>24 pr</t>
        </is>
      </c>
      <c r="M3302" s="12" t="inlineStr">
        <is>
          <t>18</t>
        </is>
      </c>
      <c r="N3302" s="12" t="n">
        <v>1</v>
      </c>
      <c r="O3302" s="12" t="n">
        <v>1</v>
      </c>
      <c r="P3302" s="12" t="n"/>
      <c r="Q3302" s="12" t="n"/>
      <c r="R3302" s="12" t="n"/>
      <c r="S3302" s="12" t="inlineStr">
        <is>
          <t>Tray</t>
        </is>
      </c>
      <c r="T3302" s="15" t="n">
        <v>761</v>
      </c>
      <c r="U3302" s="15" t="n">
        <v>150</v>
      </c>
      <c r="V3302" s="15">
        <f>ROUNDUP((T3302+U3302+2*'Read Me'!$B$13)*(1+'Read Me'!$B$12),-1)</f>
        <v/>
      </c>
      <c r="W3302" s="15">
        <f>V3302*N3302*O3302</f>
        <v/>
      </c>
      <c r="X3302" s="12">
        <f>IF(LEFT(I3302,2)="MV",2*N3302*IF(L3302="1/C",O3302,1),0)</f>
        <v/>
      </c>
      <c r="Y3302" s="12">
        <f>IF(OR(LEFT(K3302,4)="LVAX",LEFT(K3302,6)="MV15AX",LEFT(K3302,4)="CTAX",LEFT(K3302,2)="W|"),2*N3302*O3302,0)</f>
        <v/>
      </c>
      <c r="Z3302" s="12" t="inlineStr"/>
      <c r="AA3302" s="12">
        <f>N3302*O3302</f>
        <v/>
      </c>
    </row>
    <row r="3303">
      <c r="A3303" s="12" t="inlineStr">
        <is>
          <t>G-I-0029</t>
        </is>
      </c>
      <c r="B3303" s="12" t="inlineStr">
        <is>
          <t>G</t>
        </is>
      </c>
      <c r="C3303" s="12" t="inlineStr">
        <is>
          <t>Carbon capture</t>
        </is>
      </c>
      <c r="D3303" s="12" t="inlineStr">
        <is>
          <t>Analog instrument to JB JB-ABS-C-AI01: 20 x 1 pr (field cables)</t>
        </is>
      </c>
      <c r="E3303" s="12" t="inlineStr">
        <is>
          <t>ABS-C</t>
        </is>
      </c>
      <c r="F3303" s="12" t="inlineStr">
        <is>
          <t>Absorber C (62 ft dia x 262 ft, stack to 313 ft)</t>
        </is>
      </c>
      <c r="G3303" s="12" t="inlineStr">
        <is>
          <t>JB-ABS-C-AI01</t>
        </is>
      </c>
      <c r="H3303" s="12" t="inlineStr">
        <is>
          <t>Absorber C (62 ft dia x 262 ft, stack to 313 ft)</t>
        </is>
      </c>
      <c r="I3303" s="12" t="inlineStr">
        <is>
          <t>Instrumentation</t>
        </is>
      </c>
      <c r="J3303" s="12" t="inlineStr">
        <is>
          <t>Instrumentation PLTC / TC-ER 300 V, #18 twisted shielded pairs, overall shield</t>
        </is>
      </c>
      <c r="K3303" s="12" t="inlineStr">
        <is>
          <t>PLTC|1 pr|16</t>
        </is>
      </c>
      <c r="L3303" s="12" t="inlineStr">
        <is>
          <t>1 pr</t>
        </is>
      </c>
      <c r="M3303" s="12" t="inlineStr">
        <is>
          <t>16</t>
        </is>
      </c>
      <c r="N3303" s="12" t="n">
        <v>20</v>
      </c>
      <c r="O3303" s="12" t="n">
        <v>1</v>
      </c>
      <c r="P3303" s="12" t="n"/>
      <c r="Q3303" s="12" t="n"/>
      <c r="R3303" s="12" t="n"/>
      <c r="S3303" s="12" t="inlineStr">
        <is>
          <t>Tray / conduit</t>
        </is>
      </c>
      <c r="T3303" s="15" t="n">
        <v>212</v>
      </c>
      <c r="U3303" s="15" t="n">
        <v>10</v>
      </c>
      <c r="V3303" s="15">
        <f>ROUNDUP((T3303+U3303+2*'Read Me'!$B$13)*(1+'Read Me'!$B$12),-1)</f>
        <v/>
      </c>
      <c r="W3303" s="15">
        <f>V3303*N3303*O3303</f>
        <v/>
      </c>
      <c r="X3303" s="12">
        <f>IF(LEFT(I3303,2)="MV",2*N3303*IF(L3303="1/C",O3303,1),0)</f>
        <v/>
      </c>
      <c r="Y3303" s="12">
        <f>IF(OR(LEFT(K3303,4)="LVAX",LEFT(K3303,6)="MV15AX",LEFT(K3303,4)="CTAX",LEFT(K3303,2)="W|"),2*N3303*O3303,0)</f>
        <v/>
      </c>
      <c r="Z3303" s="12" t="inlineStr">
        <is>
          <t>device-to-JB field wiring, one cable per device</t>
        </is>
      </c>
      <c r="AA3303" s="12">
        <f>N3303*O3303</f>
        <v/>
      </c>
    </row>
    <row r="3304">
      <c r="A3304" s="12" t="inlineStr">
        <is>
          <t>G-I-0030</t>
        </is>
      </c>
      <c r="B3304" s="12" t="inlineStr">
        <is>
          <t>G</t>
        </is>
      </c>
      <c r="C3304" s="12" t="inlineStr">
        <is>
          <t>Carbon capture</t>
        </is>
      </c>
      <c r="D3304" s="12" t="inlineStr">
        <is>
          <t>Home run JB-ABS-C-AI01 to the control / marshalling room</t>
        </is>
      </c>
      <c r="E3304" s="12" t="inlineStr"/>
      <c r="F3304" s="12" t="inlineStr">
        <is>
          <t>CCS F&amp;G / control</t>
        </is>
      </c>
      <c r="G3304" s="12" t="inlineStr">
        <is>
          <t>JB-ABS-C-AI01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PLTC|24 pr|18</t>
        </is>
      </c>
      <c r="L3304" s="12" t="inlineStr">
        <is>
          <t>24 pr</t>
        </is>
      </c>
      <c r="M3304" s="12" t="inlineStr">
        <is>
          <t>18</t>
        </is>
      </c>
      <c r="N3304" s="12" t="n">
        <v>1</v>
      </c>
      <c r="O3304" s="12" t="n">
        <v>1</v>
      </c>
      <c r="P3304" s="12" t="n"/>
      <c r="Q3304" s="12" t="n"/>
      <c r="R3304" s="12" t="n"/>
      <c r="S3304" s="12" t="inlineStr">
        <is>
          <t>Duct bank</t>
        </is>
      </c>
      <c r="T3304" s="15" t="n">
        <v>619</v>
      </c>
      <c r="U3304" s="15" t="n">
        <v>149</v>
      </c>
      <c r="V3304" s="15">
        <f>ROUNDUP((T3304+U3304+2*'Read Me'!$B$13)*(1+'Read Me'!$B$12),-1)</f>
        <v/>
      </c>
      <c r="W3304" s="15">
        <f>V3304*N3304*O3304</f>
        <v/>
      </c>
      <c r="X3304" s="12">
        <f>IF(LEFT(I3304,2)="MV",2*N3304*IF(L3304="1/C",O3304,1),0)</f>
        <v/>
      </c>
      <c r="Y3304" s="12">
        <f>IF(OR(LEFT(K3304,4)="LVAX",LEFT(K3304,6)="MV15AX",LEFT(K3304,4)="CTAX",LEFT(K3304,2)="W|"),2*N3304*O3304,0)</f>
        <v/>
      </c>
      <c r="Z3304" s="12" t="inlineStr"/>
      <c r="AA3304" s="12">
        <f>N3304*O3304</f>
        <v/>
      </c>
    </row>
    <row r="3305">
      <c r="A3305" s="12" t="inlineStr">
        <is>
          <t>G-I-0031</t>
        </is>
      </c>
      <c r="B3305" s="12" t="inlineStr">
        <is>
          <t>G</t>
        </is>
      </c>
      <c r="C3305" s="12" t="inlineStr">
        <is>
          <t>Carbon capture</t>
        </is>
      </c>
      <c r="D3305" s="12" t="inlineStr">
        <is>
          <t>Analog instrument to JB JB-ABS-C-AI02: 20 x 1 pr (field cables)</t>
        </is>
      </c>
      <c r="E3305" s="12" t="inlineStr">
        <is>
          <t>ABS-C</t>
        </is>
      </c>
      <c r="F3305" s="12" t="inlineStr">
        <is>
          <t>Absorber C (62 ft dia x 262 ft, stack to 313 ft)</t>
        </is>
      </c>
      <c r="G3305" s="12" t="inlineStr">
        <is>
          <t>JB-ABS-C-AI02</t>
        </is>
      </c>
      <c r="H3305" s="12" t="inlineStr">
        <is>
          <t>Absorber C (62 ft dia x 262 ft, stack to 313 ft)</t>
        </is>
      </c>
      <c r="I3305" s="12" t="inlineStr">
        <is>
          <t>Instrumentation</t>
        </is>
      </c>
      <c r="J3305" s="12" t="inlineStr">
        <is>
          <t>Instrumentation PLTC / TC-ER 300 V, #18 twisted shielded pairs, overall shield</t>
        </is>
      </c>
      <c r="K3305" s="12" t="inlineStr">
        <is>
          <t>PLTC|1 pr|16</t>
        </is>
      </c>
      <c r="L3305" s="12" t="inlineStr">
        <is>
          <t>1 pr</t>
        </is>
      </c>
      <c r="M3305" s="12" t="inlineStr">
        <is>
          <t>16</t>
        </is>
      </c>
      <c r="N3305" s="12" t="n">
        <v>20</v>
      </c>
      <c r="O3305" s="12" t="n">
        <v>1</v>
      </c>
      <c r="P3305" s="12" t="n"/>
      <c r="Q3305" s="12" t="n"/>
      <c r="R3305" s="12" t="n"/>
      <c r="S3305" s="12" t="inlineStr">
        <is>
          <t>Tray / conduit</t>
        </is>
      </c>
      <c r="T3305" s="15" t="n">
        <v>212</v>
      </c>
      <c r="U3305" s="15" t="n">
        <v>10</v>
      </c>
      <c r="V3305" s="15">
        <f>ROUNDUP((T3305+U3305+2*'Read Me'!$B$13)*(1+'Read Me'!$B$12),-1)</f>
        <v/>
      </c>
      <c r="W3305" s="15">
        <f>V3305*N3305*O3305</f>
        <v/>
      </c>
      <c r="X3305" s="12">
        <f>IF(LEFT(I3305,2)="MV",2*N3305*IF(L3305="1/C",O3305,1),0)</f>
        <v/>
      </c>
      <c r="Y3305" s="12">
        <f>IF(OR(LEFT(K3305,4)="LVAX",LEFT(K3305,6)="MV15AX",LEFT(K3305,4)="CTAX",LEFT(K3305,2)="W|"),2*N3305*O3305,0)</f>
        <v/>
      </c>
      <c r="Z3305" s="12" t="inlineStr">
        <is>
          <t>device-to-JB field wiring, one cable per device</t>
        </is>
      </c>
      <c r="AA3305" s="12">
        <f>N3305*O3305</f>
        <v/>
      </c>
    </row>
    <row r="3306">
      <c r="A3306" s="12" t="inlineStr">
        <is>
          <t>G-I-0032</t>
        </is>
      </c>
      <c r="B3306" s="12" t="inlineStr">
        <is>
          <t>G</t>
        </is>
      </c>
      <c r="C3306" s="12" t="inlineStr">
        <is>
          <t>Carbon capture</t>
        </is>
      </c>
      <c r="D3306" s="12" t="inlineStr">
        <is>
          <t>Home run JB-ABS-C-AI02 to the control / marshalling room</t>
        </is>
      </c>
      <c r="E3306" s="12" t="inlineStr"/>
      <c r="F3306" s="12" t="inlineStr">
        <is>
          <t>CCS F&amp;G / control</t>
        </is>
      </c>
      <c r="G3306" s="12" t="inlineStr">
        <is>
          <t>JB-ABS-C-AI02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PLTC|24 pr|18</t>
        </is>
      </c>
      <c r="L3306" s="12" t="inlineStr">
        <is>
          <t>24 pr</t>
        </is>
      </c>
      <c r="M3306" s="12" t="inlineStr">
        <is>
          <t>18</t>
        </is>
      </c>
      <c r="N3306" s="12" t="n">
        <v>1</v>
      </c>
      <c r="O3306" s="12" t="n">
        <v>1</v>
      </c>
      <c r="P3306" s="12" t="n"/>
      <c r="Q3306" s="12" t="n"/>
      <c r="R3306" s="12" t="n"/>
      <c r="S3306" s="12" t="inlineStr">
        <is>
          <t>Duct bank</t>
        </is>
      </c>
      <c r="T3306" s="15" t="n">
        <v>619</v>
      </c>
      <c r="U3306" s="15" t="n">
        <v>149</v>
      </c>
      <c r="V3306" s="15">
        <f>ROUNDUP((T3306+U3306+2*'Read Me'!$B$13)*(1+'Read Me'!$B$12),-1)</f>
        <v/>
      </c>
      <c r="W3306" s="15">
        <f>V3306*N3306*O3306</f>
        <v/>
      </c>
      <c r="X3306" s="12">
        <f>IF(LEFT(I3306,2)="MV",2*N3306*IF(L3306="1/C",O3306,1),0)</f>
        <v/>
      </c>
      <c r="Y3306" s="12">
        <f>IF(OR(LEFT(K3306,4)="LVAX",LEFT(K3306,6)="MV15AX",LEFT(K3306,4)="CTAX",LEFT(K3306,2)="W|"),2*N3306*O3306,0)</f>
        <v/>
      </c>
      <c r="Z3306" s="12" t="inlineStr"/>
      <c r="AA3306" s="12">
        <f>N3306*O3306</f>
        <v/>
      </c>
    </row>
    <row r="3307">
      <c r="A3307" s="12" t="inlineStr">
        <is>
          <t>G-I-0033</t>
        </is>
      </c>
      <c r="B3307" s="12" t="inlineStr">
        <is>
          <t>G</t>
        </is>
      </c>
      <c r="C3307" s="12" t="inlineStr">
        <is>
          <t>Carbon capture</t>
        </is>
      </c>
      <c r="D3307" s="12" t="inlineStr">
        <is>
          <t>Analog instrument to JB JB-ABS-C-AI03: 20 x 1 pr (field cables)</t>
        </is>
      </c>
      <c r="E3307" s="12" t="inlineStr">
        <is>
          <t>ABS-C</t>
        </is>
      </c>
      <c r="F3307" s="12" t="inlineStr">
        <is>
          <t>Absorber C (62 ft dia x 262 ft, stack to 313 ft)</t>
        </is>
      </c>
      <c r="G3307" s="12" t="inlineStr">
        <is>
          <t>JB-ABS-C-AI03</t>
        </is>
      </c>
      <c r="H3307" s="12" t="inlineStr">
        <is>
          <t>Absorber C (62 ft dia x 262 ft, stack to 313 ft)</t>
        </is>
      </c>
      <c r="I3307" s="12" t="inlineStr">
        <is>
          <t>Instrumentation</t>
        </is>
      </c>
      <c r="J3307" s="12" t="inlineStr">
        <is>
          <t>Instrumentation PLTC / TC-ER 300 V, #18 twisted shielded pairs, overall shield</t>
        </is>
      </c>
      <c r="K3307" s="12" t="inlineStr">
        <is>
          <t>PLTC|1 pr|16</t>
        </is>
      </c>
      <c r="L3307" s="12" t="inlineStr">
        <is>
          <t>1 pr</t>
        </is>
      </c>
      <c r="M3307" s="12" t="inlineStr">
        <is>
          <t>16</t>
        </is>
      </c>
      <c r="N3307" s="12" t="n">
        <v>20</v>
      </c>
      <c r="O3307" s="12" t="n">
        <v>1</v>
      </c>
      <c r="P3307" s="12" t="n"/>
      <c r="Q3307" s="12" t="n"/>
      <c r="R3307" s="12" t="n"/>
      <c r="S3307" s="12" t="inlineStr">
        <is>
          <t>Tray / conduit</t>
        </is>
      </c>
      <c r="T3307" s="15" t="n">
        <v>212</v>
      </c>
      <c r="U3307" s="15" t="n">
        <v>10</v>
      </c>
      <c r="V3307" s="15">
        <f>ROUNDUP((T3307+U3307+2*'Read Me'!$B$13)*(1+'Read Me'!$B$12),-1)</f>
        <v/>
      </c>
      <c r="W3307" s="15">
        <f>V3307*N3307*O3307</f>
        <v/>
      </c>
      <c r="X3307" s="12">
        <f>IF(LEFT(I3307,2)="MV",2*N3307*IF(L3307="1/C",O3307,1),0)</f>
        <v/>
      </c>
      <c r="Y3307" s="12">
        <f>IF(OR(LEFT(K3307,4)="LVAX",LEFT(K3307,6)="MV15AX",LEFT(K3307,4)="CTAX",LEFT(K3307,2)="W|"),2*N3307*O3307,0)</f>
        <v/>
      </c>
      <c r="Z3307" s="12" t="inlineStr">
        <is>
          <t>device-to-JB field wiring, one cable per device</t>
        </is>
      </c>
      <c r="AA3307" s="12">
        <f>N3307*O3307</f>
        <v/>
      </c>
    </row>
    <row r="3308">
      <c r="A3308" s="12" t="inlineStr">
        <is>
          <t>G-I-0034</t>
        </is>
      </c>
      <c r="B3308" s="12" t="inlineStr">
        <is>
          <t>G</t>
        </is>
      </c>
      <c r="C3308" s="12" t="inlineStr">
        <is>
          <t>Carbon capture</t>
        </is>
      </c>
      <c r="D3308" s="12" t="inlineStr">
        <is>
          <t>Home run JB-ABS-C-AI03 to the control / marshalling room</t>
        </is>
      </c>
      <c r="E3308" s="12" t="inlineStr"/>
      <c r="F3308" s="12" t="inlineStr">
        <is>
          <t>CCS F&amp;G / control</t>
        </is>
      </c>
      <c r="G3308" s="12" t="inlineStr">
        <is>
          <t>JB-ABS-C-AI03</t>
        </is>
      </c>
      <c r="H3308" s="12" t="inlineStr">
        <is>
          <t>Absorber C (62 ft dia x 262 ft, stack to 313 ft)</t>
        </is>
      </c>
      <c r="I3308" s="12" t="inlineStr">
        <is>
          <t>Instrumentation</t>
        </is>
      </c>
      <c r="J3308" s="12" t="inlineStr">
        <is>
          <t>Instrumentation PLTC / TC-ER 300 V, #18 twisted shielded pairs, overall shield</t>
        </is>
      </c>
      <c r="K3308" s="12" t="inlineStr">
        <is>
          <t>PLTC|24 pr|18</t>
        </is>
      </c>
      <c r="L3308" s="12" t="inlineStr">
        <is>
          <t>24 pr</t>
        </is>
      </c>
      <c r="M3308" s="12" t="inlineStr">
        <is>
          <t>18</t>
        </is>
      </c>
      <c r="N3308" s="12" t="n">
        <v>1</v>
      </c>
      <c r="O3308" s="12" t="n">
        <v>1</v>
      </c>
      <c r="P3308" s="12" t="n"/>
      <c r="Q3308" s="12" t="n"/>
      <c r="R3308" s="12" t="n"/>
      <c r="S3308" s="12" t="inlineStr">
        <is>
          <t>Duct bank</t>
        </is>
      </c>
      <c r="T3308" s="15" t="n">
        <v>619</v>
      </c>
      <c r="U3308" s="15" t="n">
        <v>149</v>
      </c>
      <c r="V3308" s="15">
        <f>ROUNDUP((T3308+U3308+2*'Read Me'!$B$13)*(1+'Read Me'!$B$12),-1)</f>
        <v/>
      </c>
      <c r="W3308" s="15">
        <f>V3308*N3308*O3308</f>
        <v/>
      </c>
      <c r="X3308" s="12">
        <f>IF(LEFT(I3308,2)="MV",2*N3308*IF(L3308="1/C",O3308,1),0)</f>
        <v/>
      </c>
      <c r="Y3308" s="12">
        <f>IF(OR(LEFT(K3308,4)="LVAX",LEFT(K3308,6)="MV15AX",LEFT(K3308,4)="CTAX",LEFT(K3308,2)="W|"),2*N3308*O3308,0)</f>
        <v/>
      </c>
      <c r="Z3308" s="12" t="inlineStr"/>
      <c r="AA3308" s="12">
        <f>N3308*O3308</f>
        <v/>
      </c>
    </row>
    <row r="3309">
      <c r="A3309" s="12" t="inlineStr">
        <is>
          <t>G-I-0035</t>
        </is>
      </c>
      <c r="B3309" s="12" t="inlineStr">
        <is>
          <t>G</t>
        </is>
      </c>
      <c r="C3309" s="12" t="inlineStr">
        <is>
          <t>Carbon capture</t>
        </is>
      </c>
      <c r="D3309" s="12" t="inlineStr">
        <is>
          <t>Discrete device to JB JB-ABS-C-DI01: 20 x 1 pr (field cables)</t>
        </is>
      </c>
      <c r="E3309" s="12" t="inlineStr">
        <is>
          <t>ABS-C</t>
        </is>
      </c>
      <c r="F3309" s="12" t="inlineStr">
        <is>
          <t>Absorber C (62 ft dia x 262 ft, stack to 313 ft)</t>
        </is>
      </c>
      <c r="G3309" s="12" t="inlineStr">
        <is>
          <t>JB-ABS-C-DI01</t>
        </is>
      </c>
      <c r="H3309" s="12" t="inlineStr">
        <is>
          <t>Absorber C (62 ft dia x 262 ft, stack to 313 ft)</t>
        </is>
      </c>
      <c r="I3309" s="12" t="inlineStr">
        <is>
          <t>Instrumentation</t>
        </is>
      </c>
      <c r="J3309" s="12" t="inlineStr">
        <is>
          <t>Instrumentation PLTC / TC-ER 300 V, #18 twisted shielded pairs, overall shield</t>
        </is>
      </c>
      <c r="K3309" s="12" t="inlineStr">
        <is>
          <t>PLTC|1 pr|16</t>
        </is>
      </c>
      <c r="L3309" s="12" t="inlineStr">
        <is>
          <t>1 pr</t>
        </is>
      </c>
      <c r="M3309" s="12" t="inlineStr">
        <is>
          <t>16</t>
        </is>
      </c>
      <c r="N3309" s="12" t="n">
        <v>20</v>
      </c>
      <c r="O3309" s="12" t="n">
        <v>1</v>
      </c>
      <c r="P3309" s="12" t="n"/>
      <c r="Q3309" s="12" t="n"/>
      <c r="R3309" s="12" t="n"/>
      <c r="S3309" s="12" t="inlineStr">
        <is>
          <t>Tray / conduit</t>
        </is>
      </c>
      <c r="T3309" s="15" t="n">
        <v>212</v>
      </c>
      <c r="U3309" s="15" t="n">
        <v>10</v>
      </c>
      <c r="V3309" s="15">
        <f>ROUNDUP((T3309+U3309+2*'Read Me'!$B$13)*(1+'Read Me'!$B$12),-1)</f>
        <v/>
      </c>
      <c r="W3309" s="15">
        <f>V3309*N3309*O3309</f>
        <v/>
      </c>
      <c r="X3309" s="12">
        <f>IF(LEFT(I3309,2)="MV",2*N3309*IF(L3309="1/C",O3309,1),0)</f>
        <v/>
      </c>
      <c r="Y3309" s="12">
        <f>IF(OR(LEFT(K3309,4)="LVAX",LEFT(K3309,6)="MV15AX",LEFT(K3309,4)="CTAX",LEFT(K3309,2)="W|"),2*N3309*O3309,0)</f>
        <v/>
      </c>
      <c r="Z3309" s="12" t="inlineStr">
        <is>
          <t>device-to-JB field wiring, one cable per device</t>
        </is>
      </c>
      <c r="AA3309" s="12">
        <f>N3309*O3309</f>
        <v/>
      </c>
    </row>
    <row r="3310">
      <c r="A3310" s="12" t="inlineStr">
        <is>
          <t>G-I-0036</t>
        </is>
      </c>
      <c r="B3310" s="12" t="inlineStr">
        <is>
          <t>G</t>
        </is>
      </c>
      <c r="C3310" s="12" t="inlineStr">
        <is>
          <t>Carbon capture</t>
        </is>
      </c>
      <c r="D3310" s="12" t="inlineStr">
        <is>
          <t>Home run JB-ABS-C-DI01 to the control / marshalling room</t>
        </is>
      </c>
      <c r="E3310" s="12" t="inlineStr"/>
      <c r="F3310" s="12" t="inlineStr">
        <is>
          <t>CCS F&amp;G / control</t>
        </is>
      </c>
      <c r="G3310" s="12" t="inlineStr">
        <is>
          <t>JB-ABS-C-DI01</t>
        </is>
      </c>
      <c r="H3310" s="12" t="inlineStr">
        <is>
          <t>Absorber C (62 ft dia x 262 ft, stack to 313 ft)</t>
        </is>
      </c>
      <c r="I3310" s="12" t="inlineStr">
        <is>
          <t>Instrumentation</t>
        </is>
      </c>
      <c r="J3310" s="12" t="inlineStr">
        <is>
          <t>Instrumentation PLTC / TC-ER 300 V, #18 twisted shielded pairs, overall shield</t>
        </is>
      </c>
      <c r="K3310" s="12" t="inlineStr">
        <is>
          <t>PLTC|24 pr|18</t>
        </is>
      </c>
      <c r="L3310" s="12" t="inlineStr">
        <is>
          <t>24 pr</t>
        </is>
      </c>
      <c r="M3310" s="12" t="inlineStr">
        <is>
          <t>18</t>
        </is>
      </c>
      <c r="N3310" s="12" t="n">
        <v>1</v>
      </c>
      <c r="O3310" s="12" t="n">
        <v>1</v>
      </c>
      <c r="P3310" s="12" t="n"/>
      <c r="Q3310" s="12" t="n"/>
      <c r="R3310" s="12" t="n"/>
      <c r="S3310" s="12" t="inlineStr">
        <is>
          <t>Duct bank</t>
        </is>
      </c>
      <c r="T3310" s="15" t="n">
        <v>619</v>
      </c>
      <c r="U3310" s="15" t="n">
        <v>149</v>
      </c>
      <c r="V3310" s="15">
        <f>ROUNDUP((T3310+U3310+2*'Read Me'!$B$13)*(1+'Read Me'!$B$12),-1)</f>
        <v/>
      </c>
      <c r="W3310" s="15">
        <f>V3310*N3310*O3310</f>
        <v/>
      </c>
      <c r="X3310" s="12">
        <f>IF(LEFT(I3310,2)="MV",2*N3310*IF(L3310="1/C",O3310,1),0)</f>
        <v/>
      </c>
      <c r="Y3310" s="12">
        <f>IF(OR(LEFT(K3310,4)="LVAX",LEFT(K3310,6)="MV15AX",LEFT(K3310,4)="CTAX",LEFT(K3310,2)="W|"),2*N3310*O3310,0)</f>
        <v/>
      </c>
      <c r="Z3310" s="12" t="inlineStr"/>
      <c r="AA3310" s="12">
        <f>N3310*O3310</f>
        <v/>
      </c>
    </row>
    <row r="3311">
      <c r="A3311" s="12" t="inlineStr">
        <is>
          <t>G-I-0037</t>
        </is>
      </c>
      <c r="B3311" s="12" t="inlineStr">
        <is>
          <t>G</t>
        </is>
      </c>
      <c r="C3311" s="12" t="inlineStr">
        <is>
          <t>Carbon capture</t>
        </is>
      </c>
      <c r="D3311" s="12" t="inlineStr">
        <is>
          <t>Discrete device to JB JB-ABS-C-DI02: 20 x 1 pr (field cables)</t>
        </is>
      </c>
      <c r="E3311" s="12" t="inlineStr">
        <is>
          <t>ABS-C</t>
        </is>
      </c>
      <c r="F3311" s="12" t="inlineStr">
        <is>
          <t>Absorber C (62 ft dia x 262 ft, stack to 313 ft)</t>
        </is>
      </c>
      <c r="G3311" s="12" t="inlineStr">
        <is>
          <t>JB-ABS-C-DI02</t>
        </is>
      </c>
      <c r="H3311" s="12" t="inlineStr">
        <is>
          <t>Absorber C (62 ft dia x 262 ft, stack to 313 ft)</t>
        </is>
      </c>
      <c r="I3311" s="12" t="inlineStr">
        <is>
          <t>Instrumentation</t>
        </is>
      </c>
      <c r="J3311" s="12" t="inlineStr">
        <is>
          <t>Instrumentation PLTC / TC-ER 300 V, #18 twisted shielded pairs, overall shield</t>
        </is>
      </c>
      <c r="K3311" s="12" t="inlineStr">
        <is>
          <t>PLTC|1 pr|16</t>
        </is>
      </c>
      <c r="L3311" s="12" t="inlineStr">
        <is>
          <t>1 pr</t>
        </is>
      </c>
      <c r="M3311" s="12" t="inlineStr">
        <is>
          <t>16</t>
        </is>
      </c>
      <c r="N3311" s="12" t="n">
        <v>20</v>
      </c>
      <c r="O3311" s="12" t="n">
        <v>1</v>
      </c>
      <c r="P3311" s="12" t="n"/>
      <c r="Q3311" s="12" t="n"/>
      <c r="R3311" s="12" t="n"/>
      <c r="S3311" s="12" t="inlineStr">
        <is>
          <t>Tray / conduit</t>
        </is>
      </c>
      <c r="T3311" s="15" t="n">
        <v>212</v>
      </c>
      <c r="U3311" s="15" t="n">
        <v>10</v>
      </c>
      <c r="V3311" s="15">
        <f>ROUNDUP((T3311+U3311+2*'Read Me'!$B$13)*(1+'Read Me'!$B$12),-1)</f>
        <v/>
      </c>
      <c r="W3311" s="15">
        <f>V3311*N3311*O3311</f>
        <v/>
      </c>
      <c r="X3311" s="12">
        <f>IF(LEFT(I3311,2)="MV",2*N3311*IF(L3311="1/C",O3311,1),0)</f>
        <v/>
      </c>
      <c r="Y3311" s="12">
        <f>IF(OR(LEFT(K3311,4)="LVAX",LEFT(K3311,6)="MV15AX",LEFT(K3311,4)="CTAX",LEFT(K3311,2)="W|"),2*N3311*O3311,0)</f>
        <v/>
      </c>
      <c r="Z3311" s="12" t="inlineStr">
        <is>
          <t>device-to-JB field wiring, one cable per device</t>
        </is>
      </c>
      <c r="AA3311" s="12">
        <f>N3311*O3311</f>
        <v/>
      </c>
    </row>
    <row r="3312">
      <c r="A3312" s="12" t="inlineStr">
        <is>
          <t>G-I-0038</t>
        </is>
      </c>
      <c r="B3312" s="12" t="inlineStr">
        <is>
          <t>G</t>
        </is>
      </c>
      <c r="C3312" s="12" t="inlineStr">
        <is>
          <t>Carbon capture</t>
        </is>
      </c>
      <c r="D3312" s="12" t="inlineStr">
        <is>
          <t>Home run JB-ABS-C-DI02 to the control / marshalling room</t>
        </is>
      </c>
      <c r="E3312" s="12" t="inlineStr"/>
      <c r="F3312" s="12" t="inlineStr">
        <is>
          <t>CCS F&amp;G / control</t>
        </is>
      </c>
      <c r="G3312" s="12" t="inlineStr">
        <is>
          <t>JB-ABS-C-DI02</t>
        </is>
      </c>
      <c r="H3312" s="12" t="inlineStr">
        <is>
          <t>Absorber C (62 ft dia x 262 ft, stack to 313 ft)</t>
        </is>
      </c>
      <c r="I3312" s="12" t="inlineStr">
        <is>
          <t>Instrumentation</t>
        </is>
      </c>
      <c r="J3312" s="12" t="inlineStr">
        <is>
          <t>Instrumentation PLTC / TC-ER 300 V, #18 twisted shielded pairs, overall shield</t>
        </is>
      </c>
      <c r="K3312" s="12" t="inlineStr">
        <is>
          <t>PLTC|24 pr|18</t>
        </is>
      </c>
      <c r="L3312" s="12" t="inlineStr">
        <is>
          <t>24 pr</t>
        </is>
      </c>
      <c r="M3312" s="12" t="inlineStr">
        <is>
          <t>18</t>
        </is>
      </c>
      <c r="N3312" s="12" t="n">
        <v>1</v>
      </c>
      <c r="O3312" s="12" t="n">
        <v>1</v>
      </c>
      <c r="P3312" s="12" t="n"/>
      <c r="Q3312" s="12" t="n"/>
      <c r="R3312" s="12" t="n"/>
      <c r="S3312" s="12" t="inlineStr">
        <is>
          <t>Duct bank</t>
        </is>
      </c>
      <c r="T3312" s="15" t="n">
        <v>619</v>
      </c>
      <c r="U3312" s="15" t="n">
        <v>149</v>
      </c>
      <c r="V3312" s="15">
        <f>ROUNDUP((T3312+U3312+2*'Read Me'!$B$13)*(1+'Read Me'!$B$12),-1)</f>
        <v/>
      </c>
      <c r="W3312" s="15">
        <f>V3312*N3312*O3312</f>
        <v/>
      </c>
      <c r="X3312" s="12">
        <f>IF(LEFT(I3312,2)="MV",2*N3312*IF(L3312="1/C",O3312,1),0)</f>
        <v/>
      </c>
      <c r="Y3312" s="12">
        <f>IF(OR(LEFT(K3312,4)="LVAX",LEFT(K3312,6)="MV15AX",LEFT(K3312,4)="CTAX",LEFT(K3312,2)="W|"),2*N3312*O3312,0)</f>
        <v/>
      </c>
      <c r="Z3312" s="12" t="inlineStr"/>
      <c r="AA3312" s="12">
        <f>N3312*O3312</f>
        <v/>
      </c>
    </row>
    <row r="3313">
      <c r="A3313" s="12" t="inlineStr">
        <is>
          <t>G-I-0039</t>
        </is>
      </c>
      <c r="B3313" s="12" t="inlineStr">
        <is>
          <t>G</t>
        </is>
      </c>
      <c r="C3313" s="12" t="inlineStr">
        <is>
          <t>Carbon capture</t>
        </is>
      </c>
      <c r="D3313" s="12" t="inlineStr">
        <is>
          <t>Analog instrument to JB JB-Absorber C interco-AI01: 15 x 1 pr (field cables)</t>
        </is>
      </c>
      <c r="E3313" s="12" t="inlineStr"/>
      <c r="F3313" s="12" t="inlineStr">
        <is>
          <t>Absorber C intercooler (pumps + plate exchanger)</t>
        </is>
      </c>
      <c r="G3313" s="12" t="inlineStr">
        <is>
          <t>JB-Absorber C interco-AI01</t>
        </is>
      </c>
      <c r="H3313" s="12" t="inlineStr">
        <is>
          <t>Absorber C intercooler (pumps + plate exchanger)</t>
        </is>
      </c>
      <c r="I3313" s="12" t="inlineStr">
        <is>
          <t>Instrumentation</t>
        </is>
      </c>
      <c r="J3313" s="12" t="inlineStr">
        <is>
          <t>Instrumentation PLTC / TC-ER 300 V, #18 twisted shielded pairs, overall shield</t>
        </is>
      </c>
      <c r="K3313" s="12" t="inlineStr">
        <is>
          <t>PLTC|1 pr|16</t>
        </is>
      </c>
      <c r="L3313" s="12" t="inlineStr">
        <is>
          <t>1 pr</t>
        </is>
      </c>
      <c r="M3313" s="12" t="inlineStr">
        <is>
          <t>16</t>
        </is>
      </c>
      <c r="N3313" s="12" t="n">
        <v>15</v>
      </c>
      <c r="O3313" s="12" t="n">
        <v>1</v>
      </c>
      <c r="P3313" s="12" t="n"/>
      <c r="Q3313" s="12" t="n"/>
      <c r="R3313" s="12" t="n"/>
      <c r="S3313" s="12" t="inlineStr">
        <is>
          <t>Tray / conduit</t>
        </is>
      </c>
      <c r="T3313" s="15" t="n">
        <v>55</v>
      </c>
      <c r="U3313" s="15" t="n">
        <v>10</v>
      </c>
      <c r="V3313" s="15">
        <f>ROUNDUP((T3313+U3313+2*'Read Me'!$B$13)*(1+'Read Me'!$B$12),-1)</f>
        <v/>
      </c>
      <c r="W3313" s="15">
        <f>V3313*N3313*O3313</f>
        <v/>
      </c>
      <c r="X3313" s="12">
        <f>IF(LEFT(I3313,2)="MV",2*N3313*IF(L3313="1/C",O3313,1),0)</f>
        <v/>
      </c>
      <c r="Y3313" s="12">
        <f>IF(OR(LEFT(K3313,4)="LVAX",LEFT(K3313,6)="MV15AX",LEFT(K3313,4)="CTAX",LEFT(K3313,2)="W|"),2*N3313*O3313,0)</f>
        <v/>
      </c>
      <c r="Z3313" s="12" t="inlineStr">
        <is>
          <t>device-to-JB field wiring, one cable per device</t>
        </is>
      </c>
      <c r="AA3313" s="12">
        <f>N3313*O3313</f>
        <v/>
      </c>
    </row>
    <row r="3314">
      <c r="A3314" s="12" t="inlineStr">
        <is>
          <t>G-I-0040</t>
        </is>
      </c>
      <c r="B3314" s="12" t="inlineStr">
        <is>
          <t>G</t>
        </is>
      </c>
      <c r="C3314" s="12" t="inlineStr">
        <is>
          <t>Carbon capture</t>
        </is>
      </c>
      <c r="D3314" s="12" t="inlineStr">
        <is>
          <t>Home run JB-Absorber C interco-AI01 to the control / marshalling room</t>
        </is>
      </c>
      <c r="E3314" s="12" t="inlineStr"/>
      <c r="F3314" s="12" t="inlineStr">
        <is>
          <t>CCS F&amp;G / control</t>
        </is>
      </c>
      <c r="G3314" s="12" t="inlineStr">
        <is>
          <t>JB-Absorber C interco-AI01</t>
        </is>
      </c>
      <c r="H3314" s="12" t="inlineStr">
        <is>
          <t>Absorber C intercooler (pumps + plate exchanger)</t>
        </is>
      </c>
      <c r="I3314" s="12" t="inlineStr">
        <is>
          <t>Instrumentation</t>
        </is>
      </c>
      <c r="J3314" s="12" t="inlineStr">
        <is>
          <t>Instrumentation PLTC / TC-ER 300 V, #18 twisted shielded pairs, overall shield</t>
        </is>
      </c>
      <c r="K3314" s="12" t="inlineStr">
        <is>
          <t>PLTC|24 pr|18</t>
        </is>
      </c>
      <c r="L3314" s="12" t="inlineStr">
        <is>
          <t>24 pr</t>
        </is>
      </c>
      <c r="M3314" s="12" t="inlineStr">
        <is>
          <t>18</t>
        </is>
      </c>
      <c r="N3314" s="12" t="n">
        <v>1</v>
      </c>
      <c r="O3314" s="12" t="n">
        <v>1</v>
      </c>
      <c r="P3314" s="12" t="n"/>
      <c r="Q3314" s="12" t="n"/>
      <c r="R3314" s="12" t="n"/>
      <c r="S3314" s="12" t="inlineStr">
        <is>
          <t>Duct bank</t>
        </is>
      </c>
      <c r="T3314" s="15" t="n">
        <v>601</v>
      </c>
      <c r="U3314" s="15" t="n">
        <v>150</v>
      </c>
      <c r="V3314" s="15">
        <f>ROUNDUP((T3314+U3314+2*'Read Me'!$B$13)*(1+'Read Me'!$B$12),-1)</f>
        <v/>
      </c>
      <c r="W3314" s="15">
        <f>V3314*N3314*O3314</f>
        <v/>
      </c>
      <c r="X3314" s="12">
        <f>IF(LEFT(I3314,2)="MV",2*N3314*IF(L3314="1/C",O3314,1),0)</f>
        <v/>
      </c>
      <c r="Y3314" s="12">
        <f>IF(OR(LEFT(K3314,4)="LVAX",LEFT(K3314,6)="MV15AX",LEFT(K3314,4)="CTAX",LEFT(K3314,2)="W|"),2*N3314*O3314,0)</f>
        <v/>
      </c>
      <c r="Z3314" s="12" t="inlineStr"/>
      <c r="AA3314" s="12">
        <f>N3314*O3314</f>
        <v/>
      </c>
    </row>
    <row r="3315">
      <c r="A3315" s="12" t="inlineStr">
        <is>
          <t>G-I-0041</t>
        </is>
      </c>
      <c r="B3315" s="12" t="inlineStr">
        <is>
          <t>G</t>
        </is>
      </c>
      <c r="C3315" s="12" t="inlineStr">
        <is>
          <t>Carbon capture</t>
        </is>
      </c>
      <c r="D3315" s="12" t="inlineStr">
        <is>
          <t>Discrete device to JB JB-Absorber C interco-DI01: 15 x 1 pr (field cables)</t>
        </is>
      </c>
      <c r="E3315" s="12" t="inlineStr"/>
      <c r="F3315" s="12" t="inlineStr">
        <is>
          <t>Absorber C intercooler (pumps + plate exchanger)</t>
        </is>
      </c>
      <c r="G3315" s="12" t="inlineStr">
        <is>
          <t>JB-Absorber C interco-DI01</t>
        </is>
      </c>
      <c r="H3315" s="12" t="inlineStr">
        <is>
          <t>Absorber C intercooler (pumps + plate exchanger)</t>
        </is>
      </c>
      <c r="I3315" s="12" t="inlineStr">
        <is>
          <t>Instrumentation</t>
        </is>
      </c>
      <c r="J3315" s="12" t="inlineStr">
        <is>
          <t>Instrumentation PLTC / TC-ER 300 V, #18 twisted shielded pairs, overall shield</t>
        </is>
      </c>
      <c r="K3315" s="12" t="inlineStr">
        <is>
          <t>PLTC|1 pr|16</t>
        </is>
      </c>
      <c r="L3315" s="12" t="inlineStr">
        <is>
          <t>1 pr</t>
        </is>
      </c>
      <c r="M3315" s="12" t="inlineStr">
        <is>
          <t>16</t>
        </is>
      </c>
      <c r="N3315" s="12" t="n">
        <v>15</v>
      </c>
      <c r="O3315" s="12" t="n">
        <v>1</v>
      </c>
      <c r="P3315" s="12" t="n"/>
      <c r="Q3315" s="12" t="n"/>
      <c r="R3315" s="12" t="n"/>
      <c r="S3315" s="12" t="inlineStr">
        <is>
          <t>Tray / conduit</t>
        </is>
      </c>
      <c r="T3315" s="15" t="n">
        <v>55</v>
      </c>
      <c r="U3315" s="15" t="n">
        <v>10</v>
      </c>
      <c r="V3315" s="15">
        <f>ROUNDUP((T3315+U3315+2*'Read Me'!$B$13)*(1+'Read Me'!$B$12),-1)</f>
        <v/>
      </c>
      <c r="W3315" s="15">
        <f>V3315*N3315*O3315</f>
        <v/>
      </c>
      <c r="X3315" s="12">
        <f>IF(LEFT(I3315,2)="MV",2*N3315*IF(L3315="1/C",O3315,1),0)</f>
        <v/>
      </c>
      <c r="Y3315" s="12">
        <f>IF(OR(LEFT(K3315,4)="LVAX",LEFT(K3315,6)="MV15AX",LEFT(K3315,4)="CTAX",LEFT(K3315,2)="W|"),2*N3315*O3315,0)</f>
        <v/>
      </c>
      <c r="Z3315" s="12" t="inlineStr">
        <is>
          <t>device-to-JB field wiring, one cable per device</t>
        </is>
      </c>
      <c r="AA3315" s="12">
        <f>N3315*O3315</f>
        <v/>
      </c>
    </row>
    <row r="3316">
      <c r="A3316" s="12" t="inlineStr">
        <is>
          <t>G-I-0042</t>
        </is>
      </c>
      <c r="B3316" s="12" t="inlineStr">
        <is>
          <t>G</t>
        </is>
      </c>
      <c r="C3316" s="12" t="inlineStr">
        <is>
          <t>Carbon capture</t>
        </is>
      </c>
      <c r="D3316" s="12" t="inlineStr">
        <is>
          <t>Home run JB-Absorber C interco-DI01 to the control / marshalling room</t>
        </is>
      </c>
      <c r="E3316" s="12" t="inlineStr"/>
      <c r="F3316" s="12" t="inlineStr">
        <is>
          <t>CCS F&amp;G / control</t>
        </is>
      </c>
      <c r="G3316" s="12" t="inlineStr">
        <is>
          <t>JB-Absorber C interco-DI01</t>
        </is>
      </c>
      <c r="H3316" s="12" t="inlineStr">
        <is>
          <t>Absorber C intercooler (pumps + plate exchanger)</t>
        </is>
      </c>
      <c r="I3316" s="12" t="inlineStr">
        <is>
          <t>Instrumentation</t>
        </is>
      </c>
      <c r="J3316" s="12" t="inlineStr">
        <is>
          <t>Instrumentation PLTC / TC-ER 300 V, #18 twisted shielded pairs, overall shield</t>
        </is>
      </c>
      <c r="K3316" s="12" t="inlineStr">
        <is>
          <t>PLTC|24 pr|18</t>
        </is>
      </c>
      <c r="L3316" s="12" t="inlineStr">
        <is>
          <t>24 pr</t>
        </is>
      </c>
      <c r="M3316" s="12" t="inlineStr">
        <is>
          <t>18</t>
        </is>
      </c>
      <c r="N3316" s="12" t="n">
        <v>1</v>
      </c>
      <c r="O3316" s="12" t="n">
        <v>1</v>
      </c>
      <c r="P3316" s="12" t="n"/>
      <c r="Q3316" s="12" t="n"/>
      <c r="R3316" s="12" t="n"/>
      <c r="S3316" s="12" t="inlineStr">
        <is>
          <t>Duct bank</t>
        </is>
      </c>
      <c r="T3316" s="15" t="n">
        <v>601</v>
      </c>
      <c r="U3316" s="15" t="n">
        <v>150</v>
      </c>
      <c r="V3316" s="15">
        <f>ROUNDUP((T3316+U3316+2*'Read Me'!$B$13)*(1+'Read Me'!$B$12),-1)</f>
        <v/>
      </c>
      <c r="W3316" s="15">
        <f>V3316*N3316*O3316</f>
        <v/>
      </c>
      <c r="X3316" s="12">
        <f>IF(LEFT(I3316,2)="MV",2*N3316*IF(L3316="1/C",O3316,1),0)</f>
        <v/>
      </c>
      <c r="Y3316" s="12">
        <f>IF(OR(LEFT(K3316,4)="LVAX",LEFT(K3316,6)="MV15AX",LEFT(K3316,4)="CTAX",LEFT(K3316,2)="W|"),2*N3316*O3316,0)</f>
        <v/>
      </c>
      <c r="Z3316" s="12" t="inlineStr"/>
      <c r="AA3316" s="12">
        <f>N3316*O3316</f>
        <v/>
      </c>
    </row>
    <row r="3317">
      <c r="A3317" s="12" t="inlineStr">
        <is>
          <t>G-I-0043</t>
        </is>
      </c>
      <c r="B3317" s="12" t="inlineStr">
        <is>
          <t>G</t>
        </is>
      </c>
      <c r="C3317" s="12" t="inlineStr">
        <is>
          <t>Carbon capture</t>
        </is>
      </c>
      <c r="D3317" s="12" t="inlineStr">
        <is>
          <t>Analog instrument to JB JB-Activated-carbon f-AI01: 6 x 1 pr (field cables)</t>
        </is>
      </c>
      <c r="E3317" s="12" t="inlineStr"/>
      <c r="F3317" s="12" t="inlineStr">
        <is>
          <t>Activated-carbon filter</t>
        </is>
      </c>
      <c r="G3317" s="12" t="inlineStr">
        <is>
          <t>JB-Activated-carbon f-AI01</t>
        </is>
      </c>
      <c r="H3317" s="12" t="inlineStr">
        <is>
          <t>Activated-carbon filter</t>
        </is>
      </c>
      <c r="I3317" s="12" t="inlineStr">
        <is>
          <t>Instrumentation</t>
        </is>
      </c>
      <c r="J3317" s="12" t="inlineStr">
        <is>
          <t>Instrumentation PLTC / TC-ER 300 V, #18 twisted shielded pairs, overall shield</t>
        </is>
      </c>
      <c r="K3317" s="12" t="inlineStr">
        <is>
          <t>PLTC|1 pr|16</t>
        </is>
      </c>
      <c r="L3317" s="12" t="inlineStr">
        <is>
          <t>1 pr</t>
        </is>
      </c>
      <c r="M3317" s="12" t="inlineStr">
        <is>
          <t>16</t>
        </is>
      </c>
      <c r="N3317" s="12" t="n">
        <v>6</v>
      </c>
      <c r="O3317" s="12" t="n">
        <v>1</v>
      </c>
      <c r="P3317" s="12" t="n"/>
      <c r="Q3317" s="12" t="n"/>
      <c r="R3317" s="12" t="n"/>
      <c r="S3317" s="12" t="inlineStr">
        <is>
          <t>Tray / conduit</t>
        </is>
      </c>
      <c r="T3317" s="15" t="n">
        <v>91</v>
      </c>
      <c r="U3317" s="15" t="n">
        <v>10</v>
      </c>
      <c r="V3317" s="15">
        <f>ROUNDUP((T3317+U3317+2*'Read Me'!$B$13)*(1+'Read Me'!$B$12),-1)</f>
        <v/>
      </c>
      <c r="W3317" s="15">
        <f>V3317*N3317*O3317</f>
        <v/>
      </c>
      <c r="X3317" s="12">
        <f>IF(LEFT(I3317,2)="MV",2*N3317*IF(L3317="1/C",O3317,1),0)</f>
        <v/>
      </c>
      <c r="Y3317" s="12">
        <f>IF(OR(LEFT(K3317,4)="LVAX",LEFT(K3317,6)="MV15AX",LEFT(K3317,4)="CTAX",LEFT(K3317,2)="W|"),2*N3317*O3317,0)</f>
        <v/>
      </c>
      <c r="Z3317" s="12" t="inlineStr">
        <is>
          <t>device-to-JB field wiring, one cable per device</t>
        </is>
      </c>
      <c r="AA3317" s="12">
        <f>N3317*O3317</f>
        <v/>
      </c>
    </row>
    <row r="3318">
      <c r="A3318" s="12" t="inlineStr">
        <is>
          <t>G-I-0044</t>
        </is>
      </c>
      <c r="B3318" s="12" t="inlineStr">
        <is>
          <t>G</t>
        </is>
      </c>
      <c r="C3318" s="12" t="inlineStr">
        <is>
          <t>Carbon capture</t>
        </is>
      </c>
      <c r="D3318" s="12" t="inlineStr">
        <is>
          <t>Home run JB-Activated-carbon f-AI01 to the control / marshalling room</t>
        </is>
      </c>
      <c r="E3318" s="12" t="inlineStr"/>
      <c r="F3318" s="12" t="inlineStr">
        <is>
          <t>CCS F&amp;G / control</t>
        </is>
      </c>
      <c r="G3318" s="12" t="inlineStr">
        <is>
          <t>JB-Activated-carbon f-AI01</t>
        </is>
      </c>
      <c r="H3318" s="12" t="inlineStr">
        <is>
          <t>Activated-carbon filter</t>
        </is>
      </c>
      <c r="I3318" s="12" t="inlineStr">
        <is>
          <t>Instrumentation</t>
        </is>
      </c>
      <c r="J3318" s="12" t="inlineStr">
        <is>
          <t>Instrumentation PLTC / TC-ER 300 V, #18 twisted shielded pairs, overall shield</t>
        </is>
      </c>
      <c r="K3318" s="12" t="inlineStr">
        <is>
          <t>PLTC|24 pr|18</t>
        </is>
      </c>
      <c r="L3318" s="12" t="inlineStr">
        <is>
          <t>24 pr</t>
        </is>
      </c>
      <c r="M3318" s="12" t="inlineStr">
        <is>
          <t>18</t>
        </is>
      </c>
      <c r="N3318" s="12" t="n">
        <v>1</v>
      </c>
      <c r="O3318" s="12" t="n">
        <v>1</v>
      </c>
      <c r="P3318" s="12" t="n"/>
      <c r="Q3318" s="12" t="n"/>
      <c r="R3318" s="12" t="n"/>
      <c r="S3318" s="12" t="inlineStr">
        <is>
          <t>Duct bank</t>
        </is>
      </c>
      <c r="T3318" s="15" t="n">
        <v>185</v>
      </c>
      <c r="U3318" s="15" t="n">
        <v>112</v>
      </c>
      <c r="V3318" s="15">
        <f>ROUNDUP((T3318+U3318+2*'Read Me'!$B$13)*(1+'Read Me'!$B$12),-1)</f>
        <v/>
      </c>
      <c r="W3318" s="15">
        <f>V3318*N3318*O3318</f>
        <v/>
      </c>
      <c r="X3318" s="12">
        <f>IF(LEFT(I3318,2)="MV",2*N3318*IF(L3318="1/C",O3318,1),0)</f>
        <v/>
      </c>
      <c r="Y3318" s="12">
        <f>IF(OR(LEFT(K3318,4)="LVAX",LEFT(K3318,6)="MV15AX",LEFT(K3318,4)="CTAX",LEFT(K3318,2)="W|"),2*N3318*O3318,0)</f>
        <v/>
      </c>
      <c r="Z3318" s="12" t="inlineStr"/>
      <c r="AA3318" s="12">
        <f>N3318*O3318</f>
        <v/>
      </c>
    </row>
    <row r="3319">
      <c r="A3319" s="12" t="inlineStr">
        <is>
          <t>G-I-0045</t>
        </is>
      </c>
      <c r="B3319" s="12" t="inlineStr">
        <is>
          <t>G</t>
        </is>
      </c>
      <c r="C3319" s="12" t="inlineStr">
        <is>
          <t>Carbon capture</t>
        </is>
      </c>
      <c r="D3319" s="12" t="inlineStr">
        <is>
          <t>Discrete device to JB JB-Activated-carbon f-DI01: 6 x 1 pr (field cables)</t>
        </is>
      </c>
      <c r="E3319" s="12" t="inlineStr"/>
      <c r="F3319" s="12" t="inlineStr">
        <is>
          <t>Activated-carbon filter</t>
        </is>
      </c>
      <c r="G3319" s="12" t="inlineStr">
        <is>
          <t>JB-Activated-carbon f-DI01</t>
        </is>
      </c>
      <c r="H3319" s="12" t="inlineStr">
        <is>
          <t>Activated-carbon filter</t>
        </is>
      </c>
      <c r="I3319" s="12" t="inlineStr">
        <is>
          <t>Instrumentation</t>
        </is>
      </c>
      <c r="J3319" s="12" t="inlineStr">
        <is>
          <t>Instrumentation PLTC / TC-ER 300 V, #18 twisted shielded pairs, overall shield</t>
        </is>
      </c>
      <c r="K3319" s="12" t="inlineStr">
        <is>
          <t>PLTC|1 pr|16</t>
        </is>
      </c>
      <c r="L3319" s="12" t="inlineStr">
        <is>
          <t>1 pr</t>
        </is>
      </c>
      <c r="M3319" s="12" t="inlineStr">
        <is>
          <t>16</t>
        </is>
      </c>
      <c r="N3319" s="12" t="n">
        <v>6</v>
      </c>
      <c r="O3319" s="12" t="n">
        <v>1</v>
      </c>
      <c r="P3319" s="12" t="n"/>
      <c r="Q3319" s="12" t="n"/>
      <c r="R3319" s="12" t="n"/>
      <c r="S3319" s="12" t="inlineStr">
        <is>
          <t>Tray / conduit</t>
        </is>
      </c>
      <c r="T3319" s="15" t="n">
        <v>91</v>
      </c>
      <c r="U3319" s="15" t="n">
        <v>10</v>
      </c>
      <c r="V3319" s="15">
        <f>ROUNDUP((T3319+U3319+2*'Read Me'!$B$13)*(1+'Read Me'!$B$12),-1)</f>
        <v/>
      </c>
      <c r="W3319" s="15">
        <f>V3319*N3319*O3319</f>
        <v/>
      </c>
      <c r="X3319" s="12">
        <f>IF(LEFT(I3319,2)="MV",2*N3319*IF(L3319="1/C",O3319,1),0)</f>
        <v/>
      </c>
      <c r="Y3319" s="12">
        <f>IF(OR(LEFT(K3319,4)="LVAX",LEFT(K3319,6)="MV15AX",LEFT(K3319,4)="CTAX",LEFT(K3319,2)="W|"),2*N3319*O3319,0)</f>
        <v/>
      </c>
      <c r="Z3319" s="12" t="inlineStr">
        <is>
          <t>device-to-JB field wiring, one cable per device</t>
        </is>
      </c>
      <c r="AA3319" s="12">
        <f>N3319*O3319</f>
        <v/>
      </c>
    </row>
    <row r="3320">
      <c r="A3320" s="12" t="inlineStr">
        <is>
          <t>G-I-0046</t>
        </is>
      </c>
      <c r="B3320" s="12" t="inlineStr">
        <is>
          <t>G</t>
        </is>
      </c>
      <c r="C3320" s="12" t="inlineStr">
        <is>
          <t>Carbon capture</t>
        </is>
      </c>
      <c r="D3320" s="12" t="inlineStr">
        <is>
          <t>Home run JB-Activated-carbon f-DI01 to the control / marshalling room</t>
        </is>
      </c>
      <c r="E3320" s="12" t="inlineStr"/>
      <c r="F3320" s="12" t="inlineStr">
        <is>
          <t>CCS F&amp;G / control</t>
        </is>
      </c>
      <c r="G3320" s="12" t="inlineStr">
        <is>
          <t>JB-Activated-carbon f-DI01</t>
        </is>
      </c>
      <c r="H3320" s="12" t="inlineStr">
        <is>
          <t>Activated-carbon filter</t>
        </is>
      </c>
      <c r="I3320" s="12" t="inlineStr">
        <is>
          <t>Instrumentation</t>
        </is>
      </c>
      <c r="J3320" s="12" t="inlineStr">
        <is>
          <t>Instrumentation PLTC / TC-ER 300 V, #18 twisted shielded pairs, overall shield</t>
        </is>
      </c>
      <c r="K3320" s="12" t="inlineStr">
        <is>
          <t>PLTC|24 pr|18</t>
        </is>
      </c>
      <c r="L3320" s="12" t="inlineStr">
        <is>
          <t>24 pr</t>
        </is>
      </c>
      <c r="M3320" s="12" t="inlineStr">
        <is>
          <t>18</t>
        </is>
      </c>
      <c r="N3320" s="12" t="n">
        <v>1</v>
      </c>
      <c r="O3320" s="12" t="n">
        <v>1</v>
      </c>
      <c r="P3320" s="12" t="n"/>
      <c r="Q3320" s="12" t="n"/>
      <c r="R3320" s="12" t="n"/>
      <c r="S3320" s="12" t="inlineStr">
        <is>
          <t>Duct bank</t>
        </is>
      </c>
      <c r="T3320" s="15" t="n">
        <v>185</v>
      </c>
      <c r="U3320" s="15" t="n">
        <v>112</v>
      </c>
      <c r="V3320" s="15">
        <f>ROUNDUP((T3320+U3320+2*'Read Me'!$B$13)*(1+'Read Me'!$B$12),-1)</f>
        <v/>
      </c>
      <c r="W3320" s="15">
        <f>V3320*N3320*O3320</f>
        <v/>
      </c>
      <c r="X3320" s="12">
        <f>IF(LEFT(I3320,2)="MV",2*N3320*IF(L3320="1/C",O3320,1),0)</f>
        <v/>
      </c>
      <c r="Y3320" s="12">
        <f>IF(OR(LEFT(K3320,4)="LVAX",LEFT(K3320,6)="MV15AX",LEFT(K3320,4)="CTAX",LEFT(K3320,2)="W|"),2*N3320*O3320,0)</f>
        <v/>
      </c>
      <c r="Z3320" s="12" t="inlineStr"/>
      <c r="AA3320" s="12">
        <f>N3320*O3320</f>
        <v/>
      </c>
    </row>
    <row r="3321">
      <c r="A3321" s="12" t="inlineStr">
        <is>
          <t>G-I-0047</t>
        </is>
      </c>
      <c r="B3321" s="12" t="inlineStr">
        <is>
          <t>G</t>
        </is>
      </c>
      <c r="C3321" s="12" t="inlineStr">
        <is>
          <t>Carbon capture</t>
        </is>
      </c>
      <c r="D3321" s="12" t="inlineStr">
        <is>
          <t>Analog instrument to JB JB-BF-A-AI01: 20 x 1 pr (field cables)</t>
        </is>
      </c>
      <c r="E3321" s="12" t="inlineStr">
        <is>
          <t>BF-A</t>
        </is>
      </c>
      <c r="F3321" s="12" t="inlineStr">
        <is>
          <t>BF-A: booster fan (~16 MW)</t>
        </is>
      </c>
      <c r="G3321" s="12" t="inlineStr">
        <is>
          <t>JB-BF-A-AI01</t>
        </is>
      </c>
      <c r="H3321" s="12" t="inlineStr">
        <is>
          <t>BF-A: booster fan (~16 MW)</t>
        </is>
      </c>
      <c r="I3321" s="12" t="inlineStr">
        <is>
          <t>Instrumentation</t>
        </is>
      </c>
      <c r="J3321" s="12" t="inlineStr">
        <is>
          <t>Instrumentation PLTC / TC-ER 300 V, #18 twisted shielded pairs, overall shield</t>
        </is>
      </c>
      <c r="K3321" s="12" t="inlineStr">
        <is>
          <t>PLTC|1 pr|16</t>
        </is>
      </c>
      <c r="L3321" s="12" t="inlineStr">
        <is>
          <t>1 pr</t>
        </is>
      </c>
      <c r="M3321" s="12" t="inlineStr">
        <is>
          <t>16</t>
        </is>
      </c>
      <c r="N3321" s="12" t="n">
        <v>20</v>
      </c>
      <c r="O3321" s="12" t="n">
        <v>1</v>
      </c>
      <c r="P3321" s="12" t="n"/>
      <c r="Q3321" s="12" t="n"/>
      <c r="R3321" s="12" t="n"/>
      <c r="S3321" s="12" t="inlineStr">
        <is>
          <t>Tray / conduit</t>
        </is>
      </c>
      <c r="T3321" s="15" t="n">
        <v>82</v>
      </c>
      <c r="U3321" s="15" t="n">
        <v>10</v>
      </c>
      <c r="V3321" s="15">
        <f>ROUNDUP((T3321+U3321+2*'Read Me'!$B$13)*(1+'Read Me'!$B$12),-1)</f>
        <v/>
      </c>
      <c r="W3321" s="15">
        <f>V3321*N3321*O3321</f>
        <v/>
      </c>
      <c r="X3321" s="12">
        <f>IF(LEFT(I3321,2)="MV",2*N3321*IF(L3321="1/C",O3321,1),0)</f>
        <v/>
      </c>
      <c r="Y3321" s="12">
        <f>IF(OR(LEFT(K3321,4)="LVAX",LEFT(K3321,6)="MV15AX",LEFT(K3321,4)="CTAX",LEFT(K3321,2)="W|"),2*N3321*O3321,0)</f>
        <v/>
      </c>
      <c r="Z3321" s="12" t="inlineStr">
        <is>
          <t>device-to-JB field wiring, one cable per device</t>
        </is>
      </c>
      <c r="AA3321" s="12">
        <f>N3321*O3321</f>
        <v/>
      </c>
    </row>
    <row r="3322">
      <c r="A3322" s="12" t="inlineStr">
        <is>
          <t>G-I-0048</t>
        </is>
      </c>
      <c r="B3322" s="12" t="inlineStr">
        <is>
          <t>G</t>
        </is>
      </c>
      <c r="C3322" s="12" t="inlineStr">
        <is>
          <t>Carbon capture</t>
        </is>
      </c>
      <c r="D3322" s="12" t="inlineStr">
        <is>
          <t>Home run JB-BF-A-AI01 to the control / marshalling room</t>
        </is>
      </c>
      <c r="E3322" s="12" t="inlineStr"/>
      <c r="F3322" s="12" t="inlineStr">
        <is>
          <t>CCS F&amp;G / control</t>
        </is>
      </c>
      <c r="G3322" s="12" t="inlineStr">
        <is>
          <t>JB-BF-A-AI01</t>
        </is>
      </c>
      <c r="H3322" s="12" t="inlineStr">
        <is>
          <t>BF-A: booster fan (~16 MW)</t>
        </is>
      </c>
      <c r="I3322" s="12" t="inlineStr">
        <is>
          <t>Instrumentation</t>
        </is>
      </c>
      <c r="J3322" s="12" t="inlineStr">
        <is>
          <t>Instrumentation PLTC / TC-ER 300 V, #18 twisted shielded pairs, overall shield</t>
        </is>
      </c>
      <c r="K3322" s="12" t="inlineStr">
        <is>
          <t>PLTC|24 pr|18</t>
        </is>
      </c>
      <c r="L3322" s="12" t="inlineStr">
        <is>
          <t>24 pr</t>
        </is>
      </c>
      <c r="M3322" s="12" t="inlineStr">
        <is>
          <t>18</t>
        </is>
      </c>
      <c r="N3322" s="12" t="n">
        <v>1</v>
      </c>
      <c r="O3322" s="12" t="n">
        <v>1</v>
      </c>
      <c r="P3322" s="12" t="n"/>
      <c r="Q3322" s="12" t="n"/>
      <c r="R3322" s="12" t="n"/>
      <c r="S3322" s="12" t="inlineStr">
        <is>
          <t>Duct bank</t>
        </is>
      </c>
      <c r="T3322" s="15" t="n">
        <v>861</v>
      </c>
      <c r="U3322" s="15" t="n">
        <v>101</v>
      </c>
      <c r="V3322" s="15">
        <f>ROUNDUP((T3322+U3322+2*'Read Me'!$B$13)*(1+'Read Me'!$B$12),-1)</f>
        <v/>
      </c>
      <c r="W3322" s="15">
        <f>V3322*N3322*O3322</f>
        <v/>
      </c>
      <c r="X3322" s="12">
        <f>IF(LEFT(I3322,2)="MV",2*N3322*IF(L3322="1/C",O3322,1),0)</f>
        <v/>
      </c>
      <c r="Y3322" s="12">
        <f>IF(OR(LEFT(K3322,4)="LVAX",LEFT(K3322,6)="MV15AX",LEFT(K3322,4)="CTAX",LEFT(K3322,2)="W|"),2*N3322*O3322,0)</f>
        <v/>
      </c>
      <c r="Z3322" s="12" t="inlineStr"/>
      <c r="AA3322" s="12">
        <f>N3322*O3322</f>
        <v/>
      </c>
    </row>
    <row r="3323">
      <c r="A3323" s="12" t="inlineStr">
        <is>
          <t>G-I-0049</t>
        </is>
      </c>
      <c r="B3323" s="12" t="inlineStr">
        <is>
          <t>G</t>
        </is>
      </c>
      <c r="C3323" s="12" t="inlineStr">
        <is>
          <t>Carbon capture</t>
        </is>
      </c>
      <c r="D3323" s="12" t="inlineStr">
        <is>
          <t>Analog instrument to JB JB-BF-A-AI02: 10 x 1 pr (field cables)</t>
        </is>
      </c>
      <c r="E3323" s="12" t="inlineStr">
        <is>
          <t>BF-A</t>
        </is>
      </c>
      <c r="F3323" s="12" t="inlineStr">
        <is>
          <t>BF-A: booster fan (~16 MW)</t>
        </is>
      </c>
      <c r="G3323" s="12" t="inlineStr">
        <is>
          <t>JB-BF-A-AI02</t>
        </is>
      </c>
      <c r="H3323" s="12" t="inlineStr">
        <is>
          <t>BF-A: booster fan (~16 MW)</t>
        </is>
      </c>
      <c r="I3323" s="12" t="inlineStr">
        <is>
          <t>Instrumentation</t>
        </is>
      </c>
      <c r="J3323" s="12" t="inlineStr">
        <is>
          <t>Instrumentation PLTC / TC-ER 300 V, #18 twisted shielded pairs, overall shield</t>
        </is>
      </c>
      <c r="K3323" s="12" t="inlineStr">
        <is>
          <t>PLTC|1 pr|16</t>
        </is>
      </c>
      <c r="L3323" s="12" t="inlineStr">
        <is>
          <t>1 pr</t>
        </is>
      </c>
      <c r="M3323" s="12" t="inlineStr">
        <is>
          <t>16</t>
        </is>
      </c>
      <c r="N3323" s="12" t="n">
        <v>10</v>
      </c>
      <c r="O3323" s="12" t="n">
        <v>1</v>
      </c>
      <c r="P3323" s="12" t="n"/>
      <c r="Q3323" s="12" t="n"/>
      <c r="R3323" s="12" t="n"/>
      <c r="S3323" s="12" t="inlineStr">
        <is>
          <t>Tray / conduit</t>
        </is>
      </c>
      <c r="T3323" s="15" t="n">
        <v>82</v>
      </c>
      <c r="U3323" s="15" t="n">
        <v>10</v>
      </c>
      <c r="V3323" s="15">
        <f>ROUNDUP((T3323+U3323+2*'Read Me'!$B$13)*(1+'Read Me'!$B$12),-1)</f>
        <v/>
      </c>
      <c r="W3323" s="15">
        <f>V3323*N3323*O3323</f>
        <v/>
      </c>
      <c r="X3323" s="12">
        <f>IF(LEFT(I3323,2)="MV",2*N3323*IF(L3323="1/C",O3323,1),0)</f>
        <v/>
      </c>
      <c r="Y3323" s="12">
        <f>IF(OR(LEFT(K3323,4)="LVAX",LEFT(K3323,6)="MV15AX",LEFT(K3323,4)="CTAX",LEFT(K3323,2)="W|"),2*N3323*O3323,0)</f>
        <v/>
      </c>
      <c r="Z3323" s="12" t="inlineStr">
        <is>
          <t>device-to-JB field wiring, one cable per device</t>
        </is>
      </c>
      <c r="AA3323" s="12">
        <f>N3323*O3323</f>
        <v/>
      </c>
    </row>
    <row r="3324">
      <c r="A3324" s="12" t="inlineStr">
        <is>
          <t>G-I-0050</t>
        </is>
      </c>
      <c r="B3324" s="12" t="inlineStr">
        <is>
          <t>G</t>
        </is>
      </c>
      <c r="C3324" s="12" t="inlineStr">
        <is>
          <t>Carbon capture</t>
        </is>
      </c>
      <c r="D3324" s="12" t="inlineStr">
        <is>
          <t>Home run JB-BF-A-AI02 to the control / marshalling room</t>
        </is>
      </c>
      <c r="E3324" s="12" t="inlineStr"/>
      <c r="F3324" s="12" t="inlineStr">
        <is>
          <t>CCS F&amp;G / control</t>
        </is>
      </c>
      <c r="G3324" s="12" t="inlineStr">
        <is>
          <t>JB-BF-A-AI02</t>
        </is>
      </c>
      <c r="H3324" s="12" t="inlineStr">
        <is>
          <t>BF-A: booster fan (~16 MW)</t>
        </is>
      </c>
      <c r="I3324" s="12" t="inlineStr">
        <is>
          <t>Instrumentation</t>
        </is>
      </c>
      <c r="J3324" s="12" t="inlineStr">
        <is>
          <t>Instrumentation PLTC / TC-ER 300 V, #18 twisted shielded pairs, overall shield</t>
        </is>
      </c>
      <c r="K3324" s="12" t="inlineStr">
        <is>
          <t>PLTC|24 pr|18</t>
        </is>
      </c>
      <c r="L3324" s="12" t="inlineStr">
        <is>
          <t>24 pr</t>
        </is>
      </c>
      <c r="M3324" s="12" t="inlineStr">
        <is>
          <t>18</t>
        </is>
      </c>
      <c r="N3324" s="12" t="n">
        <v>1</v>
      </c>
      <c r="O3324" s="12" t="n">
        <v>1</v>
      </c>
      <c r="P3324" s="12" t="n"/>
      <c r="Q3324" s="12" t="n"/>
      <c r="R3324" s="12" t="n"/>
      <c r="S3324" s="12" t="inlineStr">
        <is>
          <t>Duct bank</t>
        </is>
      </c>
      <c r="T3324" s="15" t="n">
        <v>861</v>
      </c>
      <c r="U3324" s="15" t="n">
        <v>101</v>
      </c>
      <c r="V3324" s="15">
        <f>ROUNDUP((T3324+U3324+2*'Read Me'!$B$13)*(1+'Read Me'!$B$12),-1)</f>
        <v/>
      </c>
      <c r="W3324" s="15">
        <f>V3324*N3324*O3324</f>
        <v/>
      </c>
      <c r="X3324" s="12">
        <f>IF(LEFT(I3324,2)="MV",2*N3324*IF(L3324="1/C",O3324,1),0)</f>
        <v/>
      </c>
      <c r="Y3324" s="12">
        <f>IF(OR(LEFT(K3324,4)="LVAX",LEFT(K3324,6)="MV15AX",LEFT(K3324,4)="CTAX",LEFT(K3324,2)="W|"),2*N3324*O3324,0)</f>
        <v/>
      </c>
      <c r="Z3324" s="12" t="inlineStr"/>
      <c r="AA3324" s="12">
        <f>N3324*O3324</f>
        <v/>
      </c>
    </row>
    <row r="3325">
      <c r="A3325" s="12" t="inlineStr">
        <is>
          <t>G-I-0051</t>
        </is>
      </c>
      <c r="B3325" s="12" t="inlineStr">
        <is>
          <t>G</t>
        </is>
      </c>
      <c r="C3325" s="12" t="inlineStr">
        <is>
          <t>Carbon capture</t>
        </is>
      </c>
      <c r="D3325" s="12" t="inlineStr">
        <is>
          <t>Discrete device to JB JB-BF-A-DI01: 20 x 1 pr (field cables)</t>
        </is>
      </c>
      <c r="E3325" s="12" t="inlineStr">
        <is>
          <t>BF-A</t>
        </is>
      </c>
      <c r="F3325" s="12" t="inlineStr">
        <is>
          <t>BF-A: booster fan (~16 MW)</t>
        </is>
      </c>
      <c r="G3325" s="12" t="inlineStr">
        <is>
          <t>JB-BF-A-DI01</t>
        </is>
      </c>
      <c r="H3325" s="12" t="inlineStr">
        <is>
          <t>BF-A: booster fan (~16 MW)</t>
        </is>
      </c>
      <c r="I3325" s="12" t="inlineStr">
        <is>
          <t>Instrumentation</t>
        </is>
      </c>
      <c r="J3325" s="12" t="inlineStr">
        <is>
          <t>Instrumentation PLTC / TC-ER 300 V, #18 twisted shielded pairs, overall shield</t>
        </is>
      </c>
      <c r="K3325" s="12" t="inlineStr">
        <is>
          <t>PLTC|1 pr|16</t>
        </is>
      </c>
      <c r="L3325" s="12" t="inlineStr">
        <is>
          <t>1 pr</t>
        </is>
      </c>
      <c r="M3325" s="12" t="inlineStr">
        <is>
          <t>16</t>
        </is>
      </c>
      <c r="N3325" s="12" t="n">
        <v>20</v>
      </c>
      <c r="O3325" s="12" t="n">
        <v>1</v>
      </c>
      <c r="P3325" s="12" t="n"/>
      <c r="Q3325" s="12" t="n"/>
      <c r="R3325" s="12" t="n"/>
      <c r="S3325" s="12" t="inlineStr">
        <is>
          <t>Tray / conduit</t>
        </is>
      </c>
      <c r="T3325" s="15" t="n">
        <v>82</v>
      </c>
      <c r="U3325" s="15" t="n">
        <v>10</v>
      </c>
      <c r="V3325" s="15">
        <f>ROUNDUP((T3325+U3325+2*'Read Me'!$B$13)*(1+'Read Me'!$B$12),-1)</f>
        <v/>
      </c>
      <c r="W3325" s="15">
        <f>V3325*N3325*O3325</f>
        <v/>
      </c>
      <c r="X3325" s="12">
        <f>IF(LEFT(I3325,2)="MV",2*N3325*IF(L3325="1/C",O3325,1),0)</f>
        <v/>
      </c>
      <c r="Y3325" s="12">
        <f>IF(OR(LEFT(K3325,4)="LVAX",LEFT(K3325,6)="MV15AX",LEFT(K3325,4)="CTAX",LEFT(K3325,2)="W|"),2*N3325*O3325,0)</f>
        <v/>
      </c>
      <c r="Z3325" s="12" t="inlineStr">
        <is>
          <t>device-to-JB field wiring, one cable per device</t>
        </is>
      </c>
      <c r="AA3325" s="12">
        <f>N3325*O3325</f>
        <v/>
      </c>
    </row>
    <row r="3326">
      <c r="A3326" s="12" t="inlineStr">
        <is>
          <t>G-I-0052</t>
        </is>
      </c>
      <c r="B3326" s="12" t="inlineStr">
        <is>
          <t>G</t>
        </is>
      </c>
      <c r="C3326" s="12" t="inlineStr">
        <is>
          <t>Carbon capture</t>
        </is>
      </c>
      <c r="D3326" s="12" t="inlineStr">
        <is>
          <t>Home run JB-BF-A-DI01 to the control / marshalling room</t>
        </is>
      </c>
      <c r="E3326" s="12" t="inlineStr"/>
      <c r="F3326" s="12" t="inlineStr">
        <is>
          <t>CCS F&amp;G / control</t>
        </is>
      </c>
      <c r="G3326" s="12" t="inlineStr">
        <is>
          <t>JB-BF-A-DI01</t>
        </is>
      </c>
      <c r="H3326" s="12" t="inlineStr">
        <is>
          <t>BF-A: booster fan (~16 MW)</t>
        </is>
      </c>
      <c r="I3326" s="12" t="inlineStr">
        <is>
          <t>Instrumentation</t>
        </is>
      </c>
      <c r="J3326" s="12" t="inlineStr">
        <is>
          <t>Instrumentation PLTC / TC-ER 300 V, #18 twisted shielded pairs, overall shield</t>
        </is>
      </c>
      <c r="K3326" s="12" t="inlineStr">
        <is>
          <t>PLTC|24 pr|18</t>
        </is>
      </c>
      <c r="L3326" s="12" t="inlineStr">
        <is>
          <t>24 pr</t>
        </is>
      </c>
      <c r="M3326" s="12" t="inlineStr">
        <is>
          <t>18</t>
        </is>
      </c>
      <c r="N3326" s="12" t="n">
        <v>1</v>
      </c>
      <c r="O3326" s="12" t="n">
        <v>1</v>
      </c>
      <c r="P3326" s="12" t="n"/>
      <c r="Q3326" s="12" t="n"/>
      <c r="R3326" s="12" t="n"/>
      <c r="S3326" s="12" t="inlineStr">
        <is>
          <t>Duct bank</t>
        </is>
      </c>
      <c r="T3326" s="15" t="n">
        <v>861</v>
      </c>
      <c r="U3326" s="15" t="n">
        <v>101</v>
      </c>
      <c r="V3326" s="15">
        <f>ROUNDUP((T3326+U3326+2*'Read Me'!$B$13)*(1+'Read Me'!$B$12),-1)</f>
        <v/>
      </c>
      <c r="W3326" s="15">
        <f>V3326*N3326*O3326</f>
        <v/>
      </c>
      <c r="X3326" s="12">
        <f>IF(LEFT(I3326,2)="MV",2*N3326*IF(L3326="1/C",O3326,1),0)</f>
        <v/>
      </c>
      <c r="Y3326" s="12">
        <f>IF(OR(LEFT(K3326,4)="LVAX",LEFT(K3326,6)="MV15AX",LEFT(K3326,4)="CTAX",LEFT(K3326,2)="W|"),2*N3326*O3326,0)</f>
        <v/>
      </c>
      <c r="Z3326" s="12" t="inlineStr"/>
      <c r="AA3326" s="12">
        <f>N3326*O3326</f>
        <v/>
      </c>
    </row>
    <row r="3327">
      <c r="A3327" s="12" t="inlineStr">
        <is>
          <t>G-I-0053</t>
        </is>
      </c>
      <c r="B3327" s="12" t="inlineStr">
        <is>
          <t>G</t>
        </is>
      </c>
      <c r="C3327" s="12" t="inlineStr">
        <is>
          <t>Carbon capture</t>
        </is>
      </c>
      <c r="D3327" s="12" t="inlineStr">
        <is>
          <t>RTD to JB JB-BF-A-RTD01: 10 x 1 tri (field cables)</t>
        </is>
      </c>
      <c r="E3327" s="12" t="inlineStr">
        <is>
          <t>BF-A</t>
        </is>
      </c>
      <c r="F3327" s="12" t="inlineStr">
        <is>
          <t>BF-A: booster fan (~16 MW)</t>
        </is>
      </c>
      <c r="G3327" s="12" t="inlineStr">
        <is>
          <t>JB-BF-A-RTD01</t>
        </is>
      </c>
      <c r="H3327" s="12" t="inlineStr">
        <is>
          <t>BF-A: booster fan (~16 MW)</t>
        </is>
      </c>
      <c r="I3327" s="12" t="inlineStr">
        <is>
          <t>Instrumentation</t>
        </is>
      </c>
      <c r="J3327" s="12" t="inlineStr">
        <is>
          <t>RTD cable, #18 shielded triads, PLTC</t>
        </is>
      </c>
      <c r="K3327" s="12" t="inlineStr">
        <is>
          <t>RTD|1 tri|18</t>
        </is>
      </c>
      <c r="L3327" s="12" t="inlineStr">
        <is>
          <t>1 tri</t>
        </is>
      </c>
      <c r="M3327" s="12" t="inlineStr">
        <is>
          <t>18</t>
        </is>
      </c>
      <c r="N3327" s="12" t="n">
        <v>10</v>
      </c>
      <c r="O3327" s="12" t="n">
        <v>1</v>
      </c>
      <c r="P3327" s="12" t="n"/>
      <c r="Q3327" s="12" t="n"/>
      <c r="R3327" s="12" t="n"/>
      <c r="S3327" s="12" t="inlineStr">
        <is>
          <t>Tray / conduit</t>
        </is>
      </c>
      <c r="T3327" s="15" t="n">
        <v>82</v>
      </c>
      <c r="U3327" s="15" t="n">
        <v>10</v>
      </c>
      <c r="V3327" s="15">
        <f>ROUNDUP((T3327+U3327+2*'Read Me'!$B$13)*(1+'Read Me'!$B$12),-1)</f>
        <v/>
      </c>
      <c r="W3327" s="15">
        <f>V3327*N3327*O3327</f>
        <v/>
      </c>
      <c r="X3327" s="12">
        <f>IF(LEFT(I3327,2)="MV",2*N3327*IF(L3327="1/C",O3327,1),0)</f>
        <v/>
      </c>
      <c r="Y3327" s="12">
        <f>IF(OR(LEFT(K3327,4)="LVAX",LEFT(K3327,6)="MV15AX",LEFT(K3327,4)="CTAX",LEFT(K3327,2)="W|"),2*N3327*O3327,0)</f>
        <v/>
      </c>
      <c r="Z3327" s="12" t="inlineStr">
        <is>
          <t>device-to-JB field wiring, one cable per device</t>
        </is>
      </c>
      <c r="AA3327" s="12">
        <f>N3327*O3327</f>
        <v/>
      </c>
    </row>
    <row r="3328">
      <c r="A3328" s="12" t="inlineStr">
        <is>
          <t>G-I-0054</t>
        </is>
      </c>
      <c r="B3328" s="12" t="inlineStr">
        <is>
          <t>G</t>
        </is>
      </c>
      <c r="C3328" s="12" t="inlineStr">
        <is>
          <t>Carbon capture</t>
        </is>
      </c>
      <c r="D3328" s="12" t="inlineStr">
        <is>
          <t>Home run JB-BF-A-RTD01 to the control / marshalling room</t>
        </is>
      </c>
      <c r="E3328" s="12" t="inlineStr"/>
      <c r="F3328" s="12" t="inlineStr">
        <is>
          <t>CCS F&amp;G / control</t>
        </is>
      </c>
      <c r="G3328" s="12" t="inlineStr">
        <is>
          <t>JB-BF-A-RTD01</t>
        </is>
      </c>
      <c r="H3328" s="12" t="inlineStr">
        <is>
          <t>BF-A: booster fan (~16 MW)</t>
        </is>
      </c>
      <c r="I3328" s="12" t="inlineStr">
        <is>
          <t>Instrumentation</t>
        </is>
      </c>
      <c r="J3328" s="12" t="inlineStr">
        <is>
          <t>RTD cable, #18 shielded triads, PLTC</t>
        </is>
      </c>
      <c r="K3328" s="12" t="inlineStr">
        <is>
          <t>RTD|12 tri|18</t>
        </is>
      </c>
      <c r="L3328" s="12" t="inlineStr">
        <is>
          <t>12 tri</t>
        </is>
      </c>
      <c r="M3328" s="12" t="inlineStr">
        <is>
          <t>18</t>
        </is>
      </c>
      <c r="N3328" s="12" t="n">
        <v>1</v>
      </c>
      <c r="O3328" s="12" t="n">
        <v>1</v>
      </c>
      <c r="P3328" s="12" t="n"/>
      <c r="Q3328" s="12" t="n"/>
      <c r="R3328" s="12" t="n"/>
      <c r="S3328" s="12" t="inlineStr">
        <is>
          <t>Duct bank</t>
        </is>
      </c>
      <c r="T3328" s="15" t="n">
        <v>861</v>
      </c>
      <c r="U3328" s="15" t="n">
        <v>101</v>
      </c>
      <c r="V3328" s="15">
        <f>ROUNDUP((T3328+U3328+2*'Read Me'!$B$13)*(1+'Read Me'!$B$12),-1)</f>
        <v/>
      </c>
      <c r="W3328" s="15">
        <f>V3328*N3328*O3328</f>
        <v/>
      </c>
      <c r="X3328" s="12">
        <f>IF(LEFT(I3328,2)="MV",2*N3328*IF(L3328="1/C",O3328,1),0)</f>
        <v/>
      </c>
      <c r="Y3328" s="12">
        <f>IF(OR(LEFT(K3328,4)="LVAX",LEFT(K3328,6)="MV15AX",LEFT(K3328,4)="CTAX",LEFT(K3328,2)="W|"),2*N3328*O3328,0)</f>
        <v/>
      </c>
      <c r="Z3328" s="12" t="inlineStr"/>
      <c r="AA3328" s="12">
        <f>N3328*O3328</f>
        <v/>
      </c>
    </row>
    <row r="3329">
      <c r="A3329" s="12" t="inlineStr">
        <is>
          <t>G-I-0055</t>
        </is>
      </c>
      <c r="B3329" s="12" t="inlineStr">
        <is>
          <t>G</t>
        </is>
      </c>
      <c r="C3329" s="12" t="inlineStr">
        <is>
          <t>Carbon capture</t>
        </is>
      </c>
      <c r="D3329" s="12" t="inlineStr">
        <is>
          <t>RTD to JB JB-BF-A-RTD02: 8 x 1 tri (field cables)</t>
        </is>
      </c>
      <c r="E3329" s="12" t="inlineStr">
        <is>
          <t>BF-A</t>
        </is>
      </c>
      <c r="F3329" s="12" t="inlineStr">
        <is>
          <t>BF-A: booster fan (~16 MW)</t>
        </is>
      </c>
      <c r="G3329" s="12" t="inlineStr">
        <is>
          <t>JB-BF-A-RTD02</t>
        </is>
      </c>
      <c r="H3329" s="12" t="inlineStr">
        <is>
          <t>BF-A: booster fan (~16 MW)</t>
        </is>
      </c>
      <c r="I3329" s="12" t="inlineStr">
        <is>
          <t>Instrumentation</t>
        </is>
      </c>
      <c r="J3329" s="12" t="inlineStr">
        <is>
          <t>RTD cable, #18 shielded triads, PLTC</t>
        </is>
      </c>
      <c r="K3329" s="12" t="inlineStr">
        <is>
          <t>RTD|1 tri|18</t>
        </is>
      </c>
      <c r="L3329" s="12" t="inlineStr">
        <is>
          <t>1 tri</t>
        </is>
      </c>
      <c r="M3329" s="12" t="inlineStr">
        <is>
          <t>18</t>
        </is>
      </c>
      <c r="N3329" s="12" t="n">
        <v>8</v>
      </c>
      <c r="O3329" s="12" t="n">
        <v>1</v>
      </c>
      <c r="P3329" s="12" t="n"/>
      <c r="Q3329" s="12" t="n"/>
      <c r="R3329" s="12" t="n"/>
      <c r="S3329" s="12" t="inlineStr">
        <is>
          <t>Tray / conduit</t>
        </is>
      </c>
      <c r="T3329" s="15" t="n">
        <v>82</v>
      </c>
      <c r="U3329" s="15" t="n">
        <v>10</v>
      </c>
      <c r="V3329" s="15">
        <f>ROUNDUP((T3329+U3329+2*'Read Me'!$B$13)*(1+'Read Me'!$B$12),-1)</f>
        <v/>
      </c>
      <c r="W3329" s="15">
        <f>V3329*N3329*O3329</f>
        <v/>
      </c>
      <c r="X3329" s="12">
        <f>IF(LEFT(I3329,2)="MV",2*N3329*IF(L3329="1/C",O3329,1),0)</f>
        <v/>
      </c>
      <c r="Y3329" s="12">
        <f>IF(OR(LEFT(K3329,4)="LVAX",LEFT(K3329,6)="MV15AX",LEFT(K3329,4)="CTAX",LEFT(K3329,2)="W|"),2*N3329*O3329,0)</f>
        <v/>
      </c>
      <c r="Z3329" s="12" t="inlineStr">
        <is>
          <t>device-to-JB field wiring, one cable per device</t>
        </is>
      </c>
      <c r="AA3329" s="12">
        <f>N3329*O3329</f>
        <v/>
      </c>
    </row>
    <row r="3330">
      <c r="A3330" s="12" t="inlineStr">
        <is>
          <t>G-I-0056</t>
        </is>
      </c>
      <c r="B3330" s="12" t="inlineStr">
        <is>
          <t>G</t>
        </is>
      </c>
      <c r="C3330" s="12" t="inlineStr">
        <is>
          <t>Carbon capture</t>
        </is>
      </c>
      <c r="D3330" s="12" t="inlineStr">
        <is>
          <t>Home run JB-BF-A-RTD02 to the control / marshalling room</t>
        </is>
      </c>
      <c r="E3330" s="12" t="inlineStr"/>
      <c r="F3330" s="12" t="inlineStr">
        <is>
          <t>CCS F&amp;G / control</t>
        </is>
      </c>
      <c r="G3330" s="12" t="inlineStr">
        <is>
          <t>JB-BF-A-RTD02</t>
        </is>
      </c>
      <c r="H3330" s="12" t="inlineStr">
        <is>
          <t>BF-A: booster fan (~16 MW)</t>
        </is>
      </c>
      <c r="I3330" s="12" t="inlineStr">
        <is>
          <t>Instrumentation</t>
        </is>
      </c>
      <c r="J3330" s="12" t="inlineStr">
        <is>
          <t>RTD cable, #18 shielded triads, PLTC</t>
        </is>
      </c>
      <c r="K3330" s="12" t="inlineStr">
        <is>
          <t>RTD|12 tri|18</t>
        </is>
      </c>
      <c r="L3330" s="12" t="inlineStr">
        <is>
          <t>12 tri</t>
        </is>
      </c>
      <c r="M3330" s="12" t="inlineStr">
        <is>
          <t>18</t>
        </is>
      </c>
      <c r="N3330" s="12" t="n">
        <v>1</v>
      </c>
      <c r="O3330" s="12" t="n">
        <v>1</v>
      </c>
      <c r="P3330" s="12" t="n"/>
      <c r="Q3330" s="12" t="n"/>
      <c r="R3330" s="12" t="n"/>
      <c r="S3330" s="12" t="inlineStr">
        <is>
          <t>Duct bank</t>
        </is>
      </c>
      <c r="T3330" s="15" t="n">
        <v>861</v>
      </c>
      <c r="U3330" s="15" t="n">
        <v>101</v>
      </c>
      <c r="V3330" s="15">
        <f>ROUNDUP((T3330+U3330+2*'Read Me'!$B$13)*(1+'Read Me'!$B$12),-1)</f>
        <v/>
      </c>
      <c r="W3330" s="15">
        <f>V3330*N3330*O3330</f>
        <v/>
      </c>
      <c r="X3330" s="12">
        <f>IF(LEFT(I3330,2)="MV",2*N3330*IF(L3330="1/C",O3330,1),0)</f>
        <v/>
      </c>
      <c r="Y3330" s="12">
        <f>IF(OR(LEFT(K3330,4)="LVAX",LEFT(K3330,6)="MV15AX",LEFT(K3330,4)="CTAX",LEFT(K3330,2)="W|"),2*N3330*O3330,0)</f>
        <v/>
      </c>
      <c r="Z3330" s="12" t="inlineStr"/>
      <c r="AA3330" s="12">
        <f>N3330*O3330</f>
        <v/>
      </c>
    </row>
    <row r="3331">
      <c r="A3331" s="12" t="inlineStr">
        <is>
          <t>G-I-0057</t>
        </is>
      </c>
      <c r="B3331" s="12" t="inlineStr">
        <is>
          <t>G</t>
        </is>
      </c>
      <c r="C3331" s="12" t="inlineStr">
        <is>
          <t>Carbon capture</t>
        </is>
      </c>
      <c r="D3331" s="12" t="inlineStr">
        <is>
          <t>Analog instrument to JB JB-BF-B-AI01: 20 x 1 pr (field cables)</t>
        </is>
      </c>
      <c r="E3331" s="12" t="inlineStr">
        <is>
          <t>BF-B</t>
        </is>
      </c>
      <c r="F3331" s="12" t="inlineStr">
        <is>
          <t>BF-B: booster fan (~16 MW)</t>
        </is>
      </c>
      <c r="G3331" s="12" t="inlineStr">
        <is>
          <t>JB-BF-B-AI01</t>
        </is>
      </c>
      <c r="H3331" s="12" t="inlineStr">
        <is>
          <t>BF-B: booster fan (~16 MW)</t>
        </is>
      </c>
      <c r="I3331" s="12" t="inlineStr">
        <is>
          <t>Instrumentation</t>
        </is>
      </c>
      <c r="J3331" s="12" t="inlineStr">
        <is>
          <t>Instrumentation PLTC / TC-ER 300 V, #18 twisted shielded pairs, overall shield</t>
        </is>
      </c>
      <c r="K3331" s="12" t="inlineStr">
        <is>
          <t>PLTC|1 pr|16</t>
        </is>
      </c>
      <c r="L3331" s="12" t="inlineStr">
        <is>
          <t>1 pr</t>
        </is>
      </c>
      <c r="M3331" s="12" t="inlineStr">
        <is>
          <t>16</t>
        </is>
      </c>
      <c r="N3331" s="12" t="n">
        <v>20</v>
      </c>
      <c r="O3331" s="12" t="n">
        <v>1</v>
      </c>
      <c r="P3331" s="12" t="n"/>
      <c r="Q3331" s="12" t="n"/>
      <c r="R3331" s="12" t="n"/>
      <c r="S3331" s="12" t="inlineStr">
        <is>
          <t>Tray / conduit</t>
        </is>
      </c>
      <c r="T3331" s="15" t="n">
        <v>82</v>
      </c>
      <c r="U3331" s="15" t="n">
        <v>10</v>
      </c>
      <c r="V3331" s="15">
        <f>ROUNDUP((T3331+U3331+2*'Read Me'!$B$13)*(1+'Read Me'!$B$12),-1)</f>
        <v/>
      </c>
      <c r="W3331" s="15">
        <f>V3331*N3331*O3331</f>
        <v/>
      </c>
      <c r="X3331" s="12">
        <f>IF(LEFT(I3331,2)="MV",2*N3331*IF(L3331="1/C",O3331,1),0)</f>
        <v/>
      </c>
      <c r="Y3331" s="12">
        <f>IF(OR(LEFT(K3331,4)="LVAX",LEFT(K3331,6)="MV15AX",LEFT(K3331,4)="CTAX",LEFT(K3331,2)="W|"),2*N3331*O3331,0)</f>
        <v/>
      </c>
      <c r="Z3331" s="12" t="inlineStr">
        <is>
          <t>device-to-JB field wiring, one cable per device</t>
        </is>
      </c>
      <c r="AA3331" s="12">
        <f>N3331*O3331</f>
        <v/>
      </c>
    </row>
    <row r="3332">
      <c r="A3332" s="12" t="inlineStr">
        <is>
          <t>G-I-0058</t>
        </is>
      </c>
      <c r="B3332" s="12" t="inlineStr">
        <is>
          <t>G</t>
        </is>
      </c>
      <c r="C3332" s="12" t="inlineStr">
        <is>
          <t>Carbon capture</t>
        </is>
      </c>
      <c r="D3332" s="12" t="inlineStr">
        <is>
          <t>Home run JB-BF-B-AI01 to the control / marshalling room</t>
        </is>
      </c>
      <c r="E3332" s="12" t="inlineStr"/>
      <c r="F3332" s="12" t="inlineStr">
        <is>
          <t>CCS F&amp;G / control</t>
        </is>
      </c>
      <c r="G3332" s="12" t="inlineStr">
        <is>
          <t>JB-BF-B-AI01</t>
        </is>
      </c>
      <c r="H3332" s="12" t="inlineStr">
        <is>
          <t>BF-B: booster fan (~16 MW)</t>
        </is>
      </c>
      <c r="I3332" s="12" t="inlineStr">
        <is>
          <t>Instrumentation</t>
        </is>
      </c>
      <c r="J3332" s="12" t="inlineStr">
        <is>
          <t>Instrumentation PLTC / TC-ER 300 V, #18 twisted shielded pairs, overall shield</t>
        </is>
      </c>
      <c r="K3332" s="12" t="inlineStr">
        <is>
          <t>PLTC|24 pr|18</t>
        </is>
      </c>
      <c r="L3332" s="12" t="inlineStr">
        <is>
          <t>24 pr</t>
        </is>
      </c>
      <c r="M3332" s="12" t="inlineStr">
        <is>
          <t>18</t>
        </is>
      </c>
      <c r="N3332" s="12" t="n">
        <v>1</v>
      </c>
      <c r="O3332" s="12" t="n">
        <v>1</v>
      </c>
      <c r="P3332" s="12" t="n"/>
      <c r="Q3332" s="12" t="n"/>
      <c r="R3332" s="12" t="n"/>
      <c r="S3332" s="12" t="inlineStr">
        <is>
          <t>Duct bank</t>
        </is>
      </c>
      <c r="T3332" s="15" t="n">
        <v>701</v>
      </c>
      <c r="U3332" s="15" t="n">
        <v>101</v>
      </c>
      <c r="V3332" s="15">
        <f>ROUNDUP((T3332+U3332+2*'Read Me'!$B$13)*(1+'Read Me'!$B$12),-1)</f>
        <v/>
      </c>
      <c r="W3332" s="15">
        <f>V3332*N3332*O3332</f>
        <v/>
      </c>
      <c r="X3332" s="12">
        <f>IF(LEFT(I3332,2)="MV",2*N3332*IF(L3332="1/C",O3332,1),0)</f>
        <v/>
      </c>
      <c r="Y3332" s="12">
        <f>IF(OR(LEFT(K3332,4)="LVAX",LEFT(K3332,6)="MV15AX",LEFT(K3332,4)="CTAX",LEFT(K3332,2)="W|"),2*N3332*O3332,0)</f>
        <v/>
      </c>
      <c r="Z3332" s="12" t="inlineStr"/>
      <c r="AA3332" s="12">
        <f>N3332*O3332</f>
        <v/>
      </c>
    </row>
    <row r="3333">
      <c r="A3333" s="12" t="inlineStr">
        <is>
          <t>G-I-0059</t>
        </is>
      </c>
      <c r="B3333" s="12" t="inlineStr">
        <is>
          <t>G</t>
        </is>
      </c>
      <c r="C3333" s="12" t="inlineStr">
        <is>
          <t>Carbon capture</t>
        </is>
      </c>
      <c r="D3333" s="12" t="inlineStr">
        <is>
          <t>Analog instrument to JB JB-BF-B-AI02: 10 x 1 pr (field cables)</t>
        </is>
      </c>
      <c r="E3333" s="12" t="inlineStr">
        <is>
          <t>BF-B</t>
        </is>
      </c>
      <c r="F3333" s="12" t="inlineStr">
        <is>
          <t>BF-B: booster fan (~16 MW)</t>
        </is>
      </c>
      <c r="G3333" s="12" t="inlineStr">
        <is>
          <t>JB-BF-B-AI02</t>
        </is>
      </c>
      <c r="H3333" s="12" t="inlineStr">
        <is>
          <t>BF-B: booster fan (~16 MW)</t>
        </is>
      </c>
      <c r="I3333" s="12" t="inlineStr">
        <is>
          <t>Instrumentation</t>
        </is>
      </c>
      <c r="J3333" s="12" t="inlineStr">
        <is>
          <t>Instrumentation PLTC / TC-ER 300 V, #18 twisted shielded pairs, overall shield</t>
        </is>
      </c>
      <c r="K3333" s="12" t="inlineStr">
        <is>
          <t>PLTC|1 pr|16</t>
        </is>
      </c>
      <c r="L3333" s="12" t="inlineStr">
        <is>
          <t>1 pr</t>
        </is>
      </c>
      <c r="M3333" s="12" t="inlineStr">
        <is>
          <t>16</t>
        </is>
      </c>
      <c r="N3333" s="12" t="n">
        <v>10</v>
      </c>
      <c r="O3333" s="12" t="n">
        <v>1</v>
      </c>
      <c r="P3333" s="12" t="n"/>
      <c r="Q3333" s="12" t="n"/>
      <c r="R3333" s="12" t="n"/>
      <c r="S3333" s="12" t="inlineStr">
        <is>
          <t>Tray / conduit</t>
        </is>
      </c>
      <c r="T3333" s="15" t="n">
        <v>82</v>
      </c>
      <c r="U3333" s="15" t="n">
        <v>10</v>
      </c>
      <c r="V3333" s="15">
        <f>ROUNDUP((T3333+U3333+2*'Read Me'!$B$13)*(1+'Read Me'!$B$12),-1)</f>
        <v/>
      </c>
      <c r="W3333" s="15">
        <f>V3333*N3333*O3333</f>
        <v/>
      </c>
      <c r="X3333" s="12">
        <f>IF(LEFT(I3333,2)="MV",2*N3333*IF(L3333="1/C",O3333,1),0)</f>
        <v/>
      </c>
      <c r="Y3333" s="12">
        <f>IF(OR(LEFT(K3333,4)="LVAX",LEFT(K3333,6)="MV15AX",LEFT(K3333,4)="CTAX",LEFT(K3333,2)="W|"),2*N3333*O3333,0)</f>
        <v/>
      </c>
      <c r="Z3333" s="12" t="inlineStr">
        <is>
          <t>device-to-JB field wiring, one cable per device</t>
        </is>
      </c>
      <c r="AA3333" s="12">
        <f>N3333*O3333</f>
        <v/>
      </c>
    </row>
    <row r="3334">
      <c r="A3334" s="12" t="inlineStr">
        <is>
          <t>G-I-0060</t>
        </is>
      </c>
      <c r="B3334" s="12" t="inlineStr">
        <is>
          <t>G</t>
        </is>
      </c>
      <c r="C3334" s="12" t="inlineStr">
        <is>
          <t>Carbon capture</t>
        </is>
      </c>
      <c r="D3334" s="12" t="inlineStr">
        <is>
          <t>Home run JB-BF-B-AI02 to the control / marshalling room</t>
        </is>
      </c>
      <c r="E3334" s="12" t="inlineStr"/>
      <c r="F3334" s="12" t="inlineStr">
        <is>
          <t>CCS F&amp;G / control</t>
        </is>
      </c>
      <c r="G3334" s="12" t="inlineStr">
        <is>
          <t>JB-BF-B-AI02</t>
        </is>
      </c>
      <c r="H3334" s="12" t="inlineStr">
        <is>
          <t>BF-B: booster fan (~16 MW)</t>
        </is>
      </c>
      <c r="I3334" s="12" t="inlineStr">
        <is>
          <t>Instrumentation</t>
        </is>
      </c>
      <c r="J3334" s="12" t="inlineStr">
        <is>
          <t>Instrumentation PLTC / TC-ER 300 V, #18 twisted shielded pairs, overall shield</t>
        </is>
      </c>
      <c r="K3334" s="12" t="inlineStr">
        <is>
          <t>PLTC|24 pr|18</t>
        </is>
      </c>
      <c r="L3334" s="12" t="inlineStr">
        <is>
          <t>24 pr</t>
        </is>
      </c>
      <c r="M3334" s="12" t="inlineStr">
        <is>
          <t>18</t>
        </is>
      </c>
      <c r="N3334" s="12" t="n">
        <v>1</v>
      </c>
      <c r="O3334" s="12" t="n">
        <v>1</v>
      </c>
      <c r="P3334" s="12" t="n"/>
      <c r="Q3334" s="12" t="n"/>
      <c r="R3334" s="12" t="n"/>
      <c r="S3334" s="12" t="inlineStr">
        <is>
          <t>Duct bank</t>
        </is>
      </c>
      <c r="T3334" s="15" t="n">
        <v>701</v>
      </c>
      <c r="U3334" s="15" t="n">
        <v>101</v>
      </c>
      <c r="V3334" s="15">
        <f>ROUNDUP((T3334+U3334+2*'Read Me'!$B$13)*(1+'Read Me'!$B$12),-1)</f>
        <v/>
      </c>
      <c r="W3334" s="15">
        <f>V3334*N3334*O3334</f>
        <v/>
      </c>
      <c r="X3334" s="12">
        <f>IF(LEFT(I3334,2)="MV",2*N3334*IF(L3334="1/C",O3334,1),0)</f>
        <v/>
      </c>
      <c r="Y3334" s="12">
        <f>IF(OR(LEFT(K3334,4)="LVAX",LEFT(K3334,6)="MV15AX",LEFT(K3334,4)="CTAX",LEFT(K3334,2)="W|"),2*N3334*O3334,0)</f>
        <v/>
      </c>
      <c r="Z3334" s="12" t="inlineStr"/>
      <c r="AA3334" s="12">
        <f>N3334*O3334</f>
        <v/>
      </c>
    </row>
    <row r="3335">
      <c r="A3335" s="12" t="inlineStr">
        <is>
          <t>G-I-0061</t>
        </is>
      </c>
      <c r="B3335" s="12" t="inlineStr">
        <is>
          <t>G</t>
        </is>
      </c>
      <c r="C3335" s="12" t="inlineStr">
        <is>
          <t>Carbon capture</t>
        </is>
      </c>
      <c r="D3335" s="12" t="inlineStr">
        <is>
          <t>Discrete device to JB JB-BF-B-DI01: 20 x 1 pr (field cables)</t>
        </is>
      </c>
      <c r="E3335" s="12" t="inlineStr">
        <is>
          <t>BF-B</t>
        </is>
      </c>
      <c r="F3335" s="12" t="inlineStr">
        <is>
          <t>BF-B: booster fan (~16 MW)</t>
        </is>
      </c>
      <c r="G3335" s="12" t="inlineStr">
        <is>
          <t>JB-BF-B-DI01</t>
        </is>
      </c>
      <c r="H3335" s="12" t="inlineStr">
        <is>
          <t>BF-B: booster fan (~16 MW)</t>
        </is>
      </c>
      <c r="I3335" s="12" t="inlineStr">
        <is>
          <t>Instrumentation</t>
        </is>
      </c>
      <c r="J3335" s="12" t="inlineStr">
        <is>
          <t>Instrumentation PLTC / TC-ER 300 V, #18 twisted shielded pairs, overall shield</t>
        </is>
      </c>
      <c r="K3335" s="12" t="inlineStr">
        <is>
          <t>PLTC|1 pr|16</t>
        </is>
      </c>
      <c r="L3335" s="12" t="inlineStr">
        <is>
          <t>1 pr</t>
        </is>
      </c>
      <c r="M3335" s="12" t="inlineStr">
        <is>
          <t>16</t>
        </is>
      </c>
      <c r="N3335" s="12" t="n">
        <v>20</v>
      </c>
      <c r="O3335" s="12" t="n">
        <v>1</v>
      </c>
      <c r="P3335" s="12" t="n"/>
      <c r="Q3335" s="12" t="n"/>
      <c r="R3335" s="12" t="n"/>
      <c r="S3335" s="12" t="inlineStr">
        <is>
          <t>Tray / conduit</t>
        </is>
      </c>
      <c r="T3335" s="15" t="n">
        <v>82</v>
      </c>
      <c r="U3335" s="15" t="n">
        <v>10</v>
      </c>
      <c r="V3335" s="15">
        <f>ROUNDUP((T3335+U3335+2*'Read Me'!$B$13)*(1+'Read Me'!$B$12),-1)</f>
        <v/>
      </c>
      <c r="W3335" s="15">
        <f>V3335*N3335*O3335</f>
        <v/>
      </c>
      <c r="X3335" s="12">
        <f>IF(LEFT(I3335,2)="MV",2*N3335*IF(L3335="1/C",O3335,1),0)</f>
        <v/>
      </c>
      <c r="Y3335" s="12">
        <f>IF(OR(LEFT(K3335,4)="LVAX",LEFT(K3335,6)="MV15AX",LEFT(K3335,4)="CTAX",LEFT(K3335,2)="W|"),2*N3335*O3335,0)</f>
        <v/>
      </c>
      <c r="Z3335" s="12" t="inlineStr">
        <is>
          <t>device-to-JB field wiring, one cable per device</t>
        </is>
      </c>
      <c r="AA3335" s="12">
        <f>N3335*O3335</f>
        <v/>
      </c>
    </row>
    <row r="3336">
      <c r="A3336" s="12" t="inlineStr">
        <is>
          <t>G-I-0062</t>
        </is>
      </c>
      <c r="B3336" s="12" t="inlineStr">
        <is>
          <t>G</t>
        </is>
      </c>
      <c r="C3336" s="12" t="inlineStr">
        <is>
          <t>Carbon capture</t>
        </is>
      </c>
      <c r="D3336" s="12" t="inlineStr">
        <is>
          <t>Home run JB-BF-B-DI01 to the control / marshalling room</t>
        </is>
      </c>
      <c r="E3336" s="12" t="inlineStr"/>
      <c r="F3336" s="12" t="inlineStr">
        <is>
          <t>CCS F&amp;G / control</t>
        </is>
      </c>
      <c r="G3336" s="12" t="inlineStr">
        <is>
          <t>JB-BF-B-DI01</t>
        </is>
      </c>
      <c r="H3336" s="12" t="inlineStr">
        <is>
          <t>BF-B: booster fan (~16 MW)</t>
        </is>
      </c>
      <c r="I3336" s="12" t="inlineStr">
        <is>
          <t>Instrumentation</t>
        </is>
      </c>
      <c r="J3336" s="12" t="inlineStr">
        <is>
          <t>Instrumentation PLTC / TC-ER 300 V, #18 twisted shielded pairs, overall shield</t>
        </is>
      </c>
      <c r="K3336" s="12" t="inlineStr">
        <is>
          <t>PLTC|24 pr|18</t>
        </is>
      </c>
      <c r="L3336" s="12" t="inlineStr">
        <is>
          <t>24 pr</t>
        </is>
      </c>
      <c r="M3336" s="12" t="inlineStr">
        <is>
          <t>18</t>
        </is>
      </c>
      <c r="N3336" s="12" t="n">
        <v>1</v>
      </c>
      <c r="O3336" s="12" t="n">
        <v>1</v>
      </c>
      <c r="P3336" s="12" t="n"/>
      <c r="Q3336" s="12" t="n"/>
      <c r="R3336" s="12" t="n"/>
      <c r="S3336" s="12" t="inlineStr">
        <is>
          <t>Duct bank</t>
        </is>
      </c>
      <c r="T3336" s="15" t="n">
        <v>701</v>
      </c>
      <c r="U3336" s="15" t="n">
        <v>101</v>
      </c>
      <c r="V3336" s="15">
        <f>ROUNDUP((T3336+U3336+2*'Read Me'!$B$13)*(1+'Read Me'!$B$12),-1)</f>
        <v/>
      </c>
      <c r="W3336" s="15">
        <f>V3336*N3336*O3336</f>
        <v/>
      </c>
      <c r="X3336" s="12">
        <f>IF(LEFT(I3336,2)="MV",2*N3336*IF(L3336="1/C",O3336,1),0)</f>
        <v/>
      </c>
      <c r="Y3336" s="12">
        <f>IF(OR(LEFT(K3336,4)="LVAX",LEFT(K3336,6)="MV15AX",LEFT(K3336,4)="CTAX",LEFT(K3336,2)="W|"),2*N3336*O3336,0)</f>
        <v/>
      </c>
      <c r="Z3336" s="12" t="inlineStr"/>
      <c r="AA3336" s="12">
        <f>N3336*O3336</f>
        <v/>
      </c>
    </row>
    <row r="3337">
      <c r="A3337" s="12" t="inlineStr">
        <is>
          <t>G-I-0063</t>
        </is>
      </c>
      <c r="B3337" s="12" t="inlineStr">
        <is>
          <t>G</t>
        </is>
      </c>
      <c r="C3337" s="12" t="inlineStr">
        <is>
          <t>Carbon capture</t>
        </is>
      </c>
      <c r="D3337" s="12" t="inlineStr">
        <is>
          <t>RTD to JB JB-BF-B-RTD01: 10 x 1 tri (field cables)</t>
        </is>
      </c>
      <c r="E3337" s="12" t="inlineStr">
        <is>
          <t>BF-B</t>
        </is>
      </c>
      <c r="F3337" s="12" t="inlineStr">
        <is>
          <t>BF-B: booster fan (~16 MW)</t>
        </is>
      </c>
      <c r="G3337" s="12" t="inlineStr">
        <is>
          <t>JB-BF-B-RTD01</t>
        </is>
      </c>
      <c r="H3337" s="12" t="inlineStr">
        <is>
          <t>BF-B: booster fan (~16 MW)</t>
        </is>
      </c>
      <c r="I3337" s="12" t="inlineStr">
        <is>
          <t>Instrumentation</t>
        </is>
      </c>
      <c r="J3337" s="12" t="inlineStr">
        <is>
          <t>RTD cable, #18 shielded triads, PLTC</t>
        </is>
      </c>
      <c r="K3337" s="12" t="inlineStr">
        <is>
          <t>RTD|1 tri|18</t>
        </is>
      </c>
      <c r="L3337" s="12" t="inlineStr">
        <is>
          <t>1 tri</t>
        </is>
      </c>
      <c r="M3337" s="12" t="inlineStr">
        <is>
          <t>18</t>
        </is>
      </c>
      <c r="N3337" s="12" t="n">
        <v>10</v>
      </c>
      <c r="O3337" s="12" t="n">
        <v>1</v>
      </c>
      <c r="P3337" s="12" t="n"/>
      <c r="Q3337" s="12" t="n"/>
      <c r="R3337" s="12" t="n"/>
      <c r="S3337" s="12" t="inlineStr">
        <is>
          <t>Tray / conduit</t>
        </is>
      </c>
      <c r="T3337" s="15" t="n">
        <v>82</v>
      </c>
      <c r="U3337" s="15" t="n">
        <v>10</v>
      </c>
      <c r="V3337" s="15">
        <f>ROUNDUP((T3337+U3337+2*'Read Me'!$B$13)*(1+'Read Me'!$B$12),-1)</f>
        <v/>
      </c>
      <c r="W3337" s="15">
        <f>V3337*N3337*O3337</f>
        <v/>
      </c>
      <c r="X3337" s="12">
        <f>IF(LEFT(I3337,2)="MV",2*N3337*IF(L3337="1/C",O3337,1),0)</f>
        <v/>
      </c>
      <c r="Y3337" s="12">
        <f>IF(OR(LEFT(K3337,4)="LVAX",LEFT(K3337,6)="MV15AX",LEFT(K3337,4)="CTAX",LEFT(K3337,2)="W|"),2*N3337*O3337,0)</f>
        <v/>
      </c>
      <c r="Z3337" s="12" t="inlineStr">
        <is>
          <t>device-to-JB field wiring, one cable per device</t>
        </is>
      </c>
      <c r="AA3337" s="12">
        <f>N3337*O3337</f>
        <v/>
      </c>
    </row>
    <row r="3338">
      <c r="A3338" s="12" t="inlineStr">
        <is>
          <t>G-I-0064</t>
        </is>
      </c>
      <c r="B3338" s="12" t="inlineStr">
        <is>
          <t>G</t>
        </is>
      </c>
      <c r="C3338" s="12" t="inlineStr">
        <is>
          <t>Carbon capture</t>
        </is>
      </c>
      <c r="D3338" s="12" t="inlineStr">
        <is>
          <t>Home run JB-BF-B-RTD01 to the control / marshalling room</t>
        </is>
      </c>
      <c r="E3338" s="12" t="inlineStr"/>
      <c r="F3338" s="12" t="inlineStr">
        <is>
          <t>CCS F&amp;G / control</t>
        </is>
      </c>
      <c r="G3338" s="12" t="inlineStr">
        <is>
          <t>JB-BF-B-RTD01</t>
        </is>
      </c>
      <c r="H3338" s="12" t="inlineStr">
        <is>
          <t>BF-B: booster fan (~16 MW)</t>
        </is>
      </c>
      <c r="I3338" s="12" t="inlineStr">
        <is>
          <t>Instrumentation</t>
        </is>
      </c>
      <c r="J3338" s="12" t="inlineStr">
        <is>
          <t>RTD cable, #18 shielded triads, PLTC</t>
        </is>
      </c>
      <c r="K3338" s="12" t="inlineStr">
        <is>
          <t>RTD|12 tri|18</t>
        </is>
      </c>
      <c r="L3338" s="12" t="inlineStr">
        <is>
          <t>12 tri</t>
        </is>
      </c>
      <c r="M3338" s="12" t="inlineStr">
        <is>
          <t>18</t>
        </is>
      </c>
      <c r="N3338" s="12" t="n">
        <v>1</v>
      </c>
      <c r="O3338" s="12" t="n">
        <v>1</v>
      </c>
      <c r="P3338" s="12" t="n"/>
      <c r="Q3338" s="12" t="n"/>
      <c r="R3338" s="12" t="n"/>
      <c r="S3338" s="12" t="inlineStr">
        <is>
          <t>Duct bank</t>
        </is>
      </c>
      <c r="T3338" s="15" t="n">
        <v>701</v>
      </c>
      <c r="U3338" s="15" t="n">
        <v>101</v>
      </c>
      <c r="V3338" s="15">
        <f>ROUNDUP((T3338+U3338+2*'Read Me'!$B$13)*(1+'Read Me'!$B$12),-1)</f>
        <v/>
      </c>
      <c r="W3338" s="15">
        <f>V3338*N3338*O3338</f>
        <v/>
      </c>
      <c r="X3338" s="12">
        <f>IF(LEFT(I3338,2)="MV",2*N3338*IF(L3338="1/C",O3338,1),0)</f>
        <v/>
      </c>
      <c r="Y3338" s="12">
        <f>IF(OR(LEFT(K3338,4)="LVAX",LEFT(K3338,6)="MV15AX",LEFT(K3338,4)="CTAX",LEFT(K3338,2)="W|"),2*N3338*O3338,0)</f>
        <v/>
      </c>
      <c r="Z3338" s="12" t="inlineStr"/>
      <c r="AA3338" s="12">
        <f>N3338*O3338</f>
        <v/>
      </c>
    </row>
    <row r="3339">
      <c r="A3339" s="12" t="inlineStr">
        <is>
          <t>G-I-0065</t>
        </is>
      </c>
      <c r="B3339" s="12" t="inlineStr">
        <is>
          <t>G</t>
        </is>
      </c>
      <c r="C3339" s="12" t="inlineStr">
        <is>
          <t>Carbon capture</t>
        </is>
      </c>
      <c r="D3339" s="12" t="inlineStr">
        <is>
          <t>RTD to JB JB-BF-B-RTD02: 8 x 1 tri (field cables)</t>
        </is>
      </c>
      <c r="E3339" s="12" t="inlineStr">
        <is>
          <t>BF-B</t>
        </is>
      </c>
      <c r="F3339" s="12" t="inlineStr">
        <is>
          <t>BF-B: booster fan (~16 MW)</t>
        </is>
      </c>
      <c r="G3339" s="12" t="inlineStr">
        <is>
          <t>JB-BF-B-RTD02</t>
        </is>
      </c>
      <c r="H3339" s="12" t="inlineStr">
        <is>
          <t>BF-B: booster fan (~16 MW)</t>
        </is>
      </c>
      <c r="I3339" s="12" t="inlineStr">
        <is>
          <t>Instrumentation</t>
        </is>
      </c>
      <c r="J3339" s="12" t="inlineStr">
        <is>
          <t>RTD cable, #18 shielded triads, PLTC</t>
        </is>
      </c>
      <c r="K3339" s="12" t="inlineStr">
        <is>
          <t>RTD|1 tri|18</t>
        </is>
      </c>
      <c r="L3339" s="12" t="inlineStr">
        <is>
          <t>1 tri</t>
        </is>
      </c>
      <c r="M3339" s="12" t="inlineStr">
        <is>
          <t>18</t>
        </is>
      </c>
      <c r="N3339" s="12" t="n">
        <v>8</v>
      </c>
      <c r="O3339" s="12" t="n">
        <v>1</v>
      </c>
      <c r="P3339" s="12" t="n"/>
      <c r="Q3339" s="12" t="n"/>
      <c r="R3339" s="12" t="n"/>
      <c r="S3339" s="12" t="inlineStr">
        <is>
          <t>Tray / conduit</t>
        </is>
      </c>
      <c r="T3339" s="15" t="n">
        <v>82</v>
      </c>
      <c r="U3339" s="15" t="n">
        <v>10</v>
      </c>
      <c r="V3339" s="15">
        <f>ROUNDUP((T3339+U3339+2*'Read Me'!$B$13)*(1+'Read Me'!$B$12),-1)</f>
        <v/>
      </c>
      <c r="W3339" s="15">
        <f>V3339*N3339*O3339</f>
        <v/>
      </c>
      <c r="X3339" s="12">
        <f>IF(LEFT(I3339,2)="MV",2*N3339*IF(L3339="1/C",O3339,1),0)</f>
        <v/>
      </c>
      <c r="Y3339" s="12">
        <f>IF(OR(LEFT(K3339,4)="LVAX",LEFT(K3339,6)="MV15AX",LEFT(K3339,4)="CTAX",LEFT(K3339,2)="W|"),2*N3339*O3339,0)</f>
        <v/>
      </c>
      <c r="Z3339" s="12" t="inlineStr">
        <is>
          <t>device-to-JB field wiring, one cable per device</t>
        </is>
      </c>
      <c r="AA3339" s="12">
        <f>N3339*O3339</f>
        <v/>
      </c>
    </row>
    <row r="3340">
      <c r="A3340" s="12" t="inlineStr">
        <is>
          <t>G-I-0066</t>
        </is>
      </c>
      <c r="B3340" s="12" t="inlineStr">
        <is>
          <t>G</t>
        </is>
      </c>
      <c r="C3340" s="12" t="inlineStr">
        <is>
          <t>Carbon capture</t>
        </is>
      </c>
      <c r="D3340" s="12" t="inlineStr">
        <is>
          <t>Home run JB-BF-B-RTD02 to the control / marshalling room</t>
        </is>
      </c>
      <c r="E3340" s="12" t="inlineStr"/>
      <c r="F3340" s="12" t="inlineStr">
        <is>
          <t>CCS F&amp;G / control</t>
        </is>
      </c>
      <c r="G3340" s="12" t="inlineStr">
        <is>
          <t>JB-BF-B-RTD02</t>
        </is>
      </c>
      <c r="H3340" s="12" t="inlineStr">
        <is>
          <t>BF-B: booster fan (~16 MW)</t>
        </is>
      </c>
      <c r="I3340" s="12" t="inlineStr">
        <is>
          <t>Instrumentation</t>
        </is>
      </c>
      <c r="J3340" s="12" t="inlineStr">
        <is>
          <t>RTD cable, #18 shielded triads, PLTC</t>
        </is>
      </c>
      <c r="K3340" s="12" t="inlineStr">
        <is>
          <t>RTD|12 tri|18</t>
        </is>
      </c>
      <c r="L3340" s="12" t="inlineStr">
        <is>
          <t>12 tri</t>
        </is>
      </c>
      <c r="M3340" s="12" t="inlineStr">
        <is>
          <t>18</t>
        </is>
      </c>
      <c r="N3340" s="12" t="n">
        <v>1</v>
      </c>
      <c r="O3340" s="12" t="n">
        <v>1</v>
      </c>
      <c r="P3340" s="12" t="n"/>
      <c r="Q3340" s="12" t="n"/>
      <c r="R3340" s="12" t="n"/>
      <c r="S3340" s="12" t="inlineStr">
        <is>
          <t>Duct bank</t>
        </is>
      </c>
      <c r="T3340" s="15" t="n">
        <v>701</v>
      </c>
      <c r="U3340" s="15" t="n">
        <v>101</v>
      </c>
      <c r="V3340" s="15">
        <f>ROUNDUP((T3340+U3340+2*'Read Me'!$B$13)*(1+'Read Me'!$B$12),-1)</f>
        <v/>
      </c>
      <c r="W3340" s="15">
        <f>V3340*N3340*O3340</f>
        <v/>
      </c>
      <c r="X3340" s="12">
        <f>IF(LEFT(I3340,2)="MV",2*N3340*IF(L3340="1/C",O3340,1),0)</f>
        <v/>
      </c>
      <c r="Y3340" s="12">
        <f>IF(OR(LEFT(K3340,4)="LVAX",LEFT(K3340,6)="MV15AX",LEFT(K3340,4)="CTAX",LEFT(K3340,2)="W|"),2*N3340*O3340,0)</f>
        <v/>
      </c>
      <c r="Z3340" s="12" t="inlineStr"/>
      <c r="AA3340" s="12">
        <f>N3340*O3340</f>
        <v/>
      </c>
    </row>
    <row r="3341">
      <c r="A3341" s="12" t="inlineStr">
        <is>
          <t>G-I-0067</t>
        </is>
      </c>
      <c r="B3341" s="12" t="inlineStr">
        <is>
          <t>G</t>
        </is>
      </c>
      <c r="C3341" s="12" t="inlineStr">
        <is>
          <t>Carbon capture</t>
        </is>
      </c>
      <c r="D3341" s="12" t="inlineStr">
        <is>
          <t>Analog instrument to JB JB-BF-C-AI01: 20 x 1 pr (field cables)</t>
        </is>
      </c>
      <c r="E3341" s="12" t="inlineStr">
        <is>
          <t>BF-C</t>
        </is>
      </c>
      <c r="F3341" s="12" t="inlineStr">
        <is>
          <t>BF-C: booster fan (~16 MW)</t>
        </is>
      </c>
      <c r="G3341" s="12" t="inlineStr">
        <is>
          <t>JB-BF-C-AI01</t>
        </is>
      </c>
      <c r="H3341" s="12" t="inlineStr">
        <is>
          <t>BF-C: booster fan (~16 MW)</t>
        </is>
      </c>
      <c r="I3341" s="12" t="inlineStr">
        <is>
          <t>Instrumentation</t>
        </is>
      </c>
      <c r="J3341" s="12" t="inlineStr">
        <is>
          <t>Instrumentation PLTC / TC-ER 300 V, #18 twisted shielded pairs, overall shield</t>
        </is>
      </c>
      <c r="K3341" s="12" t="inlineStr">
        <is>
          <t>PLTC|1 pr|16</t>
        </is>
      </c>
      <c r="L3341" s="12" t="inlineStr">
        <is>
          <t>1 pr</t>
        </is>
      </c>
      <c r="M3341" s="12" t="inlineStr">
        <is>
          <t>16</t>
        </is>
      </c>
      <c r="N3341" s="12" t="n">
        <v>20</v>
      </c>
      <c r="O3341" s="12" t="n">
        <v>1</v>
      </c>
      <c r="P3341" s="12" t="n"/>
      <c r="Q3341" s="12" t="n"/>
      <c r="R3341" s="12" t="n"/>
      <c r="S3341" s="12" t="inlineStr">
        <is>
          <t>Tray / conduit</t>
        </is>
      </c>
      <c r="T3341" s="15" t="n">
        <v>82</v>
      </c>
      <c r="U3341" s="15" t="n">
        <v>10</v>
      </c>
      <c r="V3341" s="15">
        <f>ROUNDUP((T3341+U3341+2*'Read Me'!$B$13)*(1+'Read Me'!$B$12),-1)</f>
        <v/>
      </c>
      <c r="W3341" s="15">
        <f>V3341*N3341*O3341</f>
        <v/>
      </c>
      <c r="X3341" s="12">
        <f>IF(LEFT(I3341,2)="MV",2*N3341*IF(L3341="1/C",O3341,1),0)</f>
        <v/>
      </c>
      <c r="Y3341" s="12">
        <f>IF(OR(LEFT(K3341,4)="LVAX",LEFT(K3341,6)="MV15AX",LEFT(K3341,4)="CTAX",LEFT(K3341,2)="W|"),2*N3341*O3341,0)</f>
        <v/>
      </c>
      <c r="Z3341" s="12" t="inlineStr">
        <is>
          <t>device-to-JB field wiring, one cable per device</t>
        </is>
      </c>
      <c r="AA3341" s="12">
        <f>N3341*O3341</f>
        <v/>
      </c>
    </row>
    <row r="3342">
      <c r="A3342" s="12" t="inlineStr">
        <is>
          <t>G-I-0068</t>
        </is>
      </c>
      <c r="B3342" s="12" t="inlineStr">
        <is>
          <t>G</t>
        </is>
      </c>
      <c r="C3342" s="12" t="inlineStr">
        <is>
          <t>Carbon capture</t>
        </is>
      </c>
      <c r="D3342" s="12" t="inlineStr">
        <is>
          <t>Home run JB-BF-C-AI01 to the control / marshalling room</t>
        </is>
      </c>
      <c r="E3342" s="12" t="inlineStr"/>
      <c r="F3342" s="12" t="inlineStr">
        <is>
          <t>CCS F&amp;G / control</t>
        </is>
      </c>
      <c r="G3342" s="12" t="inlineStr">
        <is>
          <t>JB-BF-C-AI01</t>
        </is>
      </c>
      <c r="H3342" s="12" t="inlineStr">
        <is>
          <t>BF-C: booster fan (~16 MW)</t>
        </is>
      </c>
      <c r="I3342" s="12" t="inlineStr">
        <is>
          <t>Instrumentation</t>
        </is>
      </c>
      <c r="J3342" s="12" t="inlineStr">
        <is>
          <t>Instrumentation PLTC / TC-ER 300 V, #18 twisted shielded pairs, overall shield</t>
        </is>
      </c>
      <c r="K3342" s="12" t="inlineStr">
        <is>
          <t>PLTC|24 pr|18</t>
        </is>
      </c>
      <c r="L3342" s="12" t="inlineStr">
        <is>
          <t>24 pr</t>
        </is>
      </c>
      <c r="M3342" s="12" t="inlineStr">
        <is>
          <t>18</t>
        </is>
      </c>
      <c r="N3342" s="12" t="n">
        <v>1</v>
      </c>
      <c r="O3342" s="12" t="n">
        <v>1</v>
      </c>
      <c r="P3342" s="12" t="n"/>
      <c r="Q3342" s="12" t="n"/>
      <c r="R3342" s="12" t="n"/>
      <c r="S3342" s="12" t="inlineStr">
        <is>
          <t>Duct bank</t>
        </is>
      </c>
      <c r="T3342" s="15" t="n">
        <v>385</v>
      </c>
      <c r="U3342" s="15" t="n">
        <v>219</v>
      </c>
      <c r="V3342" s="15">
        <f>ROUNDUP((T3342+U3342+2*'Read Me'!$B$13)*(1+'Read Me'!$B$12),-1)</f>
        <v/>
      </c>
      <c r="W3342" s="15">
        <f>V3342*N3342*O3342</f>
        <v/>
      </c>
      <c r="X3342" s="12">
        <f>IF(LEFT(I3342,2)="MV",2*N3342*IF(L3342="1/C",O3342,1),0)</f>
        <v/>
      </c>
      <c r="Y3342" s="12">
        <f>IF(OR(LEFT(K3342,4)="LVAX",LEFT(K3342,6)="MV15AX",LEFT(K3342,4)="CTAX",LEFT(K3342,2)="W|"),2*N3342*O3342,0)</f>
        <v/>
      </c>
      <c r="Z3342" s="12" t="inlineStr"/>
      <c r="AA3342" s="12">
        <f>N3342*O3342</f>
        <v/>
      </c>
    </row>
    <row r="3343">
      <c r="A3343" s="12" t="inlineStr">
        <is>
          <t>G-I-0069</t>
        </is>
      </c>
      <c r="B3343" s="12" t="inlineStr">
        <is>
          <t>G</t>
        </is>
      </c>
      <c r="C3343" s="12" t="inlineStr">
        <is>
          <t>Carbon capture</t>
        </is>
      </c>
      <c r="D3343" s="12" t="inlineStr">
        <is>
          <t>Analog instrument to JB JB-BF-C-AI02: 10 x 1 pr (field cables)</t>
        </is>
      </c>
      <c r="E3343" s="12" t="inlineStr">
        <is>
          <t>BF-C</t>
        </is>
      </c>
      <c r="F3343" s="12" t="inlineStr">
        <is>
          <t>BF-C: booster fan (~16 MW)</t>
        </is>
      </c>
      <c r="G3343" s="12" t="inlineStr">
        <is>
          <t>JB-BF-C-AI02</t>
        </is>
      </c>
      <c r="H3343" s="12" t="inlineStr">
        <is>
          <t>BF-C: booster fan (~16 MW)</t>
        </is>
      </c>
      <c r="I3343" s="12" t="inlineStr">
        <is>
          <t>Instrumentation</t>
        </is>
      </c>
      <c r="J3343" s="12" t="inlineStr">
        <is>
          <t>Instrumentation PLTC / TC-ER 300 V, #18 twisted shielded pairs, overall shield</t>
        </is>
      </c>
      <c r="K3343" s="12" t="inlineStr">
        <is>
          <t>PLTC|1 pr|16</t>
        </is>
      </c>
      <c r="L3343" s="12" t="inlineStr">
        <is>
          <t>1 pr</t>
        </is>
      </c>
      <c r="M3343" s="12" t="inlineStr">
        <is>
          <t>16</t>
        </is>
      </c>
      <c r="N3343" s="12" t="n">
        <v>10</v>
      </c>
      <c r="O3343" s="12" t="n">
        <v>1</v>
      </c>
      <c r="P3343" s="12" t="n"/>
      <c r="Q3343" s="12" t="n"/>
      <c r="R3343" s="12" t="n"/>
      <c r="S3343" s="12" t="inlineStr">
        <is>
          <t>Tray / conduit</t>
        </is>
      </c>
      <c r="T3343" s="15" t="n">
        <v>82</v>
      </c>
      <c r="U3343" s="15" t="n">
        <v>10</v>
      </c>
      <c r="V3343" s="15">
        <f>ROUNDUP((T3343+U3343+2*'Read Me'!$B$13)*(1+'Read Me'!$B$12),-1)</f>
        <v/>
      </c>
      <c r="W3343" s="15">
        <f>V3343*N3343*O3343</f>
        <v/>
      </c>
      <c r="X3343" s="12">
        <f>IF(LEFT(I3343,2)="MV",2*N3343*IF(L3343="1/C",O3343,1),0)</f>
        <v/>
      </c>
      <c r="Y3343" s="12">
        <f>IF(OR(LEFT(K3343,4)="LVAX",LEFT(K3343,6)="MV15AX",LEFT(K3343,4)="CTAX",LEFT(K3343,2)="W|"),2*N3343*O3343,0)</f>
        <v/>
      </c>
      <c r="Z3343" s="12" t="inlineStr">
        <is>
          <t>device-to-JB field wiring, one cable per device</t>
        </is>
      </c>
      <c r="AA3343" s="12">
        <f>N3343*O3343</f>
        <v/>
      </c>
    </row>
    <row r="3344">
      <c r="A3344" s="12" t="inlineStr">
        <is>
          <t>G-I-0070</t>
        </is>
      </c>
      <c r="B3344" s="12" t="inlineStr">
        <is>
          <t>G</t>
        </is>
      </c>
      <c r="C3344" s="12" t="inlineStr">
        <is>
          <t>Carbon capture</t>
        </is>
      </c>
      <c r="D3344" s="12" t="inlineStr">
        <is>
          <t>Home run JB-BF-C-AI02 to the control / marshalling room</t>
        </is>
      </c>
      <c r="E3344" s="12" t="inlineStr"/>
      <c r="F3344" s="12" t="inlineStr">
        <is>
          <t>CCS F&amp;G / control</t>
        </is>
      </c>
      <c r="G3344" s="12" t="inlineStr">
        <is>
          <t>JB-BF-C-AI02</t>
        </is>
      </c>
      <c r="H3344" s="12" t="inlineStr">
        <is>
          <t>BF-C: booster fan (~16 MW)</t>
        </is>
      </c>
      <c r="I3344" s="12" t="inlineStr">
        <is>
          <t>Instrumentation</t>
        </is>
      </c>
      <c r="J3344" s="12" t="inlineStr">
        <is>
          <t>Instrumentation PLTC / TC-ER 300 V, #18 twisted shielded pairs, overall shield</t>
        </is>
      </c>
      <c r="K3344" s="12" t="inlineStr">
        <is>
          <t>PLTC|24 pr|18</t>
        </is>
      </c>
      <c r="L3344" s="12" t="inlineStr">
        <is>
          <t>24 pr</t>
        </is>
      </c>
      <c r="M3344" s="12" t="inlineStr">
        <is>
          <t>18</t>
        </is>
      </c>
      <c r="N3344" s="12" t="n">
        <v>1</v>
      </c>
      <c r="O3344" s="12" t="n">
        <v>1</v>
      </c>
      <c r="P3344" s="12" t="n"/>
      <c r="Q3344" s="12" t="n"/>
      <c r="R3344" s="12" t="n"/>
      <c r="S3344" s="12" t="inlineStr">
        <is>
          <t>Duct bank</t>
        </is>
      </c>
      <c r="T3344" s="15" t="n">
        <v>385</v>
      </c>
      <c r="U3344" s="15" t="n">
        <v>219</v>
      </c>
      <c r="V3344" s="15">
        <f>ROUNDUP((T3344+U3344+2*'Read Me'!$B$13)*(1+'Read Me'!$B$12),-1)</f>
        <v/>
      </c>
      <c r="W3344" s="15">
        <f>V3344*N3344*O3344</f>
        <v/>
      </c>
      <c r="X3344" s="12">
        <f>IF(LEFT(I3344,2)="MV",2*N3344*IF(L3344="1/C",O3344,1),0)</f>
        <v/>
      </c>
      <c r="Y3344" s="12">
        <f>IF(OR(LEFT(K3344,4)="LVAX",LEFT(K3344,6)="MV15AX",LEFT(K3344,4)="CTAX",LEFT(K3344,2)="W|"),2*N3344*O3344,0)</f>
        <v/>
      </c>
      <c r="Z3344" s="12" t="inlineStr"/>
      <c r="AA3344" s="12">
        <f>N3344*O3344</f>
        <v/>
      </c>
    </row>
    <row r="3345">
      <c r="A3345" s="12" t="inlineStr">
        <is>
          <t>G-I-0071</t>
        </is>
      </c>
      <c r="B3345" s="12" t="inlineStr">
        <is>
          <t>G</t>
        </is>
      </c>
      <c r="C3345" s="12" t="inlineStr">
        <is>
          <t>Carbon capture</t>
        </is>
      </c>
      <c r="D3345" s="12" t="inlineStr">
        <is>
          <t>Discrete device to JB JB-BF-C-DI01: 20 x 1 pr (field cables)</t>
        </is>
      </c>
      <c r="E3345" s="12" t="inlineStr">
        <is>
          <t>BF-C</t>
        </is>
      </c>
      <c r="F3345" s="12" t="inlineStr">
        <is>
          <t>BF-C: booster fan (~16 MW)</t>
        </is>
      </c>
      <c r="G3345" s="12" t="inlineStr">
        <is>
          <t>JB-BF-C-DI01</t>
        </is>
      </c>
      <c r="H3345" s="12" t="inlineStr">
        <is>
          <t>BF-C: booster fan (~16 MW)</t>
        </is>
      </c>
      <c r="I3345" s="12" t="inlineStr">
        <is>
          <t>Instrumentation</t>
        </is>
      </c>
      <c r="J3345" s="12" t="inlineStr">
        <is>
          <t>Instrumentation PLTC / TC-ER 300 V, #18 twisted shielded pairs, overall shield</t>
        </is>
      </c>
      <c r="K3345" s="12" t="inlineStr">
        <is>
          <t>PLTC|1 pr|16</t>
        </is>
      </c>
      <c r="L3345" s="12" t="inlineStr">
        <is>
          <t>1 pr</t>
        </is>
      </c>
      <c r="M3345" s="12" t="inlineStr">
        <is>
          <t>16</t>
        </is>
      </c>
      <c r="N3345" s="12" t="n">
        <v>20</v>
      </c>
      <c r="O3345" s="12" t="n">
        <v>1</v>
      </c>
      <c r="P3345" s="12" t="n"/>
      <c r="Q3345" s="12" t="n"/>
      <c r="R3345" s="12" t="n"/>
      <c r="S3345" s="12" t="inlineStr">
        <is>
          <t>Tray / conduit</t>
        </is>
      </c>
      <c r="T3345" s="15" t="n">
        <v>82</v>
      </c>
      <c r="U3345" s="15" t="n">
        <v>10</v>
      </c>
      <c r="V3345" s="15">
        <f>ROUNDUP((T3345+U3345+2*'Read Me'!$B$13)*(1+'Read Me'!$B$12),-1)</f>
        <v/>
      </c>
      <c r="W3345" s="15">
        <f>V3345*N3345*O3345</f>
        <v/>
      </c>
      <c r="X3345" s="12">
        <f>IF(LEFT(I3345,2)="MV",2*N3345*IF(L3345="1/C",O3345,1),0)</f>
        <v/>
      </c>
      <c r="Y3345" s="12">
        <f>IF(OR(LEFT(K3345,4)="LVAX",LEFT(K3345,6)="MV15AX",LEFT(K3345,4)="CTAX",LEFT(K3345,2)="W|"),2*N3345*O3345,0)</f>
        <v/>
      </c>
      <c r="Z3345" s="12" t="inlineStr">
        <is>
          <t>device-to-JB field wiring, one cable per device</t>
        </is>
      </c>
      <c r="AA3345" s="12">
        <f>N3345*O3345</f>
        <v/>
      </c>
    </row>
    <row r="3346">
      <c r="A3346" s="12" t="inlineStr">
        <is>
          <t>G-I-0072</t>
        </is>
      </c>
      <c r="B3346" s="12" t="inlineStr">
        <is>
          <t>G</t>
        </is>
      </c>
      <c r="C3346" s="12" t="inlineStr">
        <is>
          <t>Carbon capture</t>
        </is>
      </c>
      <c r="D3346" s="12" t="inlineStr">
        <is>
          <t>Home run JB-BF-C-DI01 to the control / marshalling room</t>
        </is>
      </c>
      <c r="E3346" s="12" t="inlineStr"/>
      <c r="F3346" s="12" t="inlineStr">
        <is>
          <t>CCS F&amp;G / control</t>
        </is>
      </c>
      <c r="G3346" s="12" t="inlineStr">
        <is>
          <t>JB-BF-C-DI01</t>
        </is>
      </c>
      <c r="H3346" s="12" t="inlineStr">
        <is>
          <t>BF-C: booster fan (~16 MW)</t>
        </is>
      </c>
      <c r="I3346" s="12" t="inlineStr">
        <is>
          <t>Instrumentation</t>
        </is>
      </c>
      <c r="J3346" s="12" t="inlineStr">
        <is>
          <t>Instrumentation PLTC / TC-ER 300 V, #18 twisted shielded pairs, overall shield</t>
        </is>
      </c>
      <c r="K3346" s="12" t="inlineStr">
        <is>
          <t>PLTC|24 pr|18</t>
        </is>
      </c>
      <c r="L3346" s="12" t="inlineStr">
        <is>
          <t>24 pr</t>
        </is>
      </c>
      <c r="M3346" s="12" t="inlineStr">
        <is>
          <t>18</t>
        </is>
      </c>
      <c r="N3346" s="12" t="n">
        <v>1</v>
      </c>
      <c r="O3346" s="12" t="n">
        <v>1</v>
      </c>
      <c r="P3346" s="12" t="n"/>
      <c r="Q3346" s="12" t="n"/>
      <c r="R3346" s="12" t="n"/>
      <c r="S3346" s="12" t="inlineStr">
        <is>
          <t>Duct bank</t>
        </is>
      </c>
      <c r="T3346" s="15" t="n">
        <v>385</v>
      </c>
      <c r="U3346" s="15" t="n">
        <v>219</v>
      </c>
      <c r="V3346" s="15">
        <f>ROUNDUP((T3346+U3346+2*'Read Me'!$B$13)*(1+'Read Me'!$B$12),-1)</f>
        <v/>
      </c>
      <c r="W3346" s="15">
        <f>V3346*N3346*O3346</f>
        <v/>
      </c>
      <c r="X3346" s="12">
        <f>IF(LEFT(I3346,2)="MV",2*N3346*IF(L3346="1/C",O3346,1),0)</f>
        <v/>
      </c>
      <c r="Y3346" s="12">
        <f>IF(OR(LEFT(K3346,4)="LVAX",LEFT(K3346,6)="MV15AX",LEFT(K3346,4)="CTAX",LEFT(K3346,2)="W|"),2*N3346*O3346,0)</f>
        <v/>
      </c>
      <c r="Z3346" s="12" t="inlineStr"/>
      <c r="AA3346" s="12">
        <f>N3346*O3346</f>
        <v/>
      </c>
    </row>
    <row r="3347">
      <c r="A3347" s="12" t="inlineStr">
        <is>
          <t>G-I-0073</t>
        </is>
      </c>
      <c r="B3347" s="12" t="inlineStr">
        <is>
          <t>G</t>
        </is>
      </c>
      <c r="C3347" s="12" t="inlineStr">
        <is>
          <t>Carbon capture</t>
        </is>
      </c>
      <c r="D3347" s="12" t="inlineStr">
        <is>
          <t>RTD to JB JB-BF-C-RTD01: 10 x 1 tri (field cables)</t>
        </is>
      </c>
      <c r="E3347" s="12" t="inlineStr">
        <is>
          <t>BF-C</t>
        </is>
      </c>
      <c r="F3347" s="12" t="inlineStr">
        <is>
          <t>BF-C: booster fan (~16 MW)</t>
        </is>
      </c>
      <c r="G3347" s="12" t="inlineStr">
        <is>
          <t>JB-BF-C-RTD01</t>
        </is>
      </c>
      <c r="H3347" s="12" t="inlineStr">
        <is>
          <t>BF-C: booster fan (~16 MW)</t>
        </is>
      </c>
      <c r="I3347" s="12" t="inlineStr">
        <is>
          <t>Instrumentation</t>
        </is>
      </c>
      <c r="J3347" s="12" t="inlineStr">
        <is>
          <t>RTD cable, #18 shielded triads, PLTC</t>
        </is>
      </c>
      <c r="K3347" s="12" t="inlineStr">
        <is>
          <t>RTD|1 tri|18</t>
        </is>
      </c>
      <c r="L3347" s="12" t="inlineStr">
        <is>
          <t>1 tri</t>
        </is>
      </c>
      <c r="M3347" s="12" t="inlineStr">
        <is>
          <t>18</t>
        </is>
      </c>
      <c r="N3347" s="12" t="n">
        <v>10</v>
      </c>
      <c r="O3347" s="12" t="n">
        <v>1</v>
      </c>
      <c r="P3347" s="12" t="n"/>
      <c r="Q3347" s="12" t="n"/>
      <c r="R3347" s="12" t="n"/>
      <c r="S3347" s="12" t="inlineStr">
        <is>
          <t>Tray / conduit</t>
        </is>
      </c>
      <c r="T3347" s="15" t="n">
        <v>82</v>
      </c>
      <c r="U3347" s="15" t="n">
        <v>10</v>
      </c>
      <c r="V3347" s="15">
        <f>ROUNDUP((T3347+U3347+2*'Read Me'!$B$13)*(1+'Read Me'!$B$12),-1)</f>
        <v/>
      </c>
      <c r="W3347" s="15">
        <f>V3347*N3347*O3347</f>
        <v/>
      </c>
      <c r="X3347" s="12">
        <f>IF(LEFT(I3347,2)="MV",2*N3347*IF(L3347="1/C",O3347,1),0)</f>
        <v/>
      </c>
      <c r="Y3347" s="12">
        <f>IF(OR(LEFT(K3347,4)="LVAX",LEFT(K3347,6)="MV15AX",LEFT(K3347,4)="CTAX",LEFT(K3347,2)="W|"),2*N3347*O3347,0)</f>
        <v/>
      </c>
      <c r="Z3347" s="12" t="inlineStr">
        <is>
          <t>device-to-JB field wiring, one cable per device</t>
        </is>
      </c>
      <c r="AA3347" s="12">
        <f>N3347*O3347</f>
        <v/>
      </c>
    </row>
    <row r="3348">
      <c r="A3348" s="12" t="inlineStr">
        <is>
          <t>G-I-0074</t>
        </is>
      </c>
      <c r="B3348" s="12" t="inlineStr">
        <is>
          <t>G</t>
        </is>
      </c>
      <c r="C3348" s="12" t="inlineStr">
        <is>
          <t>Carbon capture</t>
        </is>
      </c>
      <c r="D3348" s="12" t="inlineStr">
        <is>
          <t>Home run JB-BF-C-RTD01 to the control / marshalling room</t>
        </is>
      </c>
      <c r="E3348" s="12" t="inlineStr"/>
      <c r="F3348" s="12" t="inlineStr">
        <is>
          <t>CCS F&amp;G / control</t>
        </is>
      </c>
      <c r="G3348" s="12" t="inlineStr">
        <is>
          <t>JB-BF-C-RTD01</t>
        </is>
      </c>
      <c r="H3348" s="12" t="inlineStr">
        <is>
          <t>BF-C: booster fan (~16 MW)</t>
        </is>
      </c>
      <c r="I3348" s="12" t="inlineStr">
        <is>
          <t>Instrumentation</t>
        </is>
      </c>
      <c r="J3348" s="12" t="inlineStr">
        <is>
          <t>RTD cable, #18 shielded triads, PLTC</t>
        </is>
      </c>
      <c r="K3348" s="12" t="inlineStr">
        <is>
          <t>RTD|12 tri|18</t>
        </is>
      </c>
      <c r="L3348" s="12" t="inlineStr">
        <is>
          <t>12 tri</t>
        </is>
      </c>
      <c r="M3348" s="12" t="inlineStr">
        <is>
          <t>18</t>
        </is>
      </c>
      <c r="N3348" s="12" t="n">
        <v>1</v>
      </c>
      <c r="O3348" s="12" t="n">
        <v>1</v>
      </c>
      <c r="P3348" s="12" t="n"/>
      <c r="Q3348" s="12" t="n"/>
      <c r="R3348" s="12" t="n"/>
      <c r="S3348" s="12" t="inlineStr">
        <is>
          <t>Duct bank</t>
        </is>
      </c>
      <c r="T3348" s="15" t="n">
        <v>385</v>
      </c>
      <c r="U3348" s="15" t="n">
        <v>219</v>
      </c>
      <c r="V3348" s="15">
        <f>ROUNDUP((T3348+U3348+2*'Read Me'!$B$13)*(1+'Read Me'!$B$12),-1)</f>
        <v/>
      </c>
      <c r="W3348" s="15">
        <f>V3348*N3348*O3348</f>
        <v/>
      </c>
      <c r="X3348" s="12">
        <f>IF(LEFT(I3348,2)="MV",2*N3348*IF(L3348="1/C",O3348,1),0)</f>
        <v/>
      </c>
      <c r="Y3348" s="12">
        <f>IF(OR(LEFT(K3348,4)="LVAX",LEFT(K3348,6)="MV15AX",LEFT(K3348,4)="CTAX",LEFT(K3348,2)="W|"),2*N3348*O3348,0)</f>
        <v/>
      </c>
      <c r="Z3348" s="12" t="inlineStr"/>
      <c r="AA3348" s="12">
        <f>N3348*O3348</f>
        <v/>
      </c>
    </row>
    <row r="3349">
      <c r="A3349" s="12" t="inlineStr">
        <is>
          <t>G-I-0075</t>
        </is>
      </c>
      <c r="B3349" s="12" t="inlineStr">
        <is>
          <t>G</t>
        </is>
      </c>
      <c r="C3349" s="12" t="inlineStr">
        <is>
          <t>Carbon capture</t>
        </is>
      </c>
      <c r="D3349" s="12" t="inlineStr">
        <is>
          <t>RTD to JB JB-BF-C-RTD02: 8 x 1 tri (field cables)</t>
        </is>
      </c>
      <c r="E3349" s="12" t="inlineStr">
        <is>
          <t>BF-C</t>
        </is>
      </c>
      <c r="F3349" s="12" t="inlineStr">
        <is>
          <t>BF-C: booster fan (~16 MW)</t>
        </is>
      </c>
      <c r="G3349" s="12" t="inlineStr">
        <is>
          <t>JB-BF-C-RTD02</t>
        </is>
      </c>
      <c r="H3349" s="12" t="inlineStr">
        <is>
          <t>BF-C: booster fan (~16 MW)</t>
        </is>
      </c>
      <c r="I3349" s="12" t="inlineStr">
        <is>
          <t>Instrumentation</t>
        </is>
      </c>
      <c r="J3349" s="12" t="inlineStr">
        <is>
          <t>RTD cable, #18 shielded triads, PLTC</t>
        </is>
      </c>
      <c r="K3349" s="12" t="inlineStr">
        <is>
          <t>RTD|1 tri|18</t>
        </is>
      </c>
      <c r="L3349" s="12" t="inlineStr">
        <is>
          <t>1 tri</t>
        </is>
      </c>
      <c r="M3349" s="12" t="inlineStr">
        <is>
          <t>18</t>
        </is>
      </c>
      <c r="N3349" s="12" t="n">
        <v>8</v>
      </c>
      <c r="O3349" s="12" t="n">
        <v>1</v>
      </c>
      <c r="P3349" s="12" t="n"/>
      <c r="Q3349" s="12" t="n"/>
      <c r="R3349" s="12" t="n"/>
      <c r="S3349" s="12" t="inlineStr">
        <is>
          <t>Tray / conduit</t>
        </is>
      </c>
      <c r="T3349" s="15" t="n">
        <v>82</v>
      </c>
      <c r="U3349" s="15" t="n">
        <v>10</v>
      </c>
      <c r="V3349" s="15">
        <f>ROUNDUP((T3349+U3349+2*'Read Me'!$B$13)*(1+'Read Me'!$B$12),-1)</f>
        <v/>
      </c>
      <c r="W3349" s="15">
        <f>V3349*N3349*O3349</f>
        <v/>
      </c>
      <c r="X3349" s="12">
        <f>IF(LEFT(I3349,2)="MV",2*N3349*IF(L3349="1/C",O3349,1),0)</f>
        <v/>
      </c>
      <c r="Y3349" s="12">
        <f>IF(OR(LEFT(K3349,4)="LVAX",LEFT(K3349,6)="MV15AX",LEFT(K3349,4)="CTAX",LEFT(K3349,2)="W|"),2*N3349*O3349,0)</f>
        <v/>
      </c>
      <c r="Z3349" s="12" t="inlineStr">
        <is>
          <t>device-to-JB field wiring, one cable per device</t>
        </is>
      </c>
      <c r="AA3349" s="12">
        <f>N3349*O3349</f>
        <v/>
      </c>
    </row>
    <row r="3350">
      <c r="A3350" s="12" t="inlineStr">
        <is>
          <t>G-I-0076</t>
        </is>
      </c>
      <c r="B3350" s="12" t="inlineStr">
        <is>
          <t>G</t>
        </is>
      </c>
      <c r="C3350" s="12" t="inlineStr">
        <is>
          <t>Carbon capture</t>
        </is>
      </c>
      <c r="D3350" s="12" t="inlineStr">
        <is>
          <t>Home run JB-BF-C-RTD02 to the control / marshalling room</t>
        </is>
      </c>
      <c r="E3350" s="12" t="inlineStr"/>
      <c r="F3350" s="12" t="inlineStr">
        <is>
          <t>CCS F&amp;G / control</t>
        </is>
      </c>
      <c r="G3350" s="12" t="inlineStr">
        <is>
          <t>JB-BF-C-RTD02</t>
        </is>
      </c>
      <c r="H3350" s="12" t="inlineStr">
        <is>
          <t>BF-C: booster fan (~16 MW)</t>
        </is>
      </c>
      <c r="I3350" s="12" t="inlineStr">
        <is>
          <t>Instrumentation</t>
        </is>
      </c>
      <c r="J3350" s="12" t="inlineStr">
        <is>
          <t>RTD cable, #18 shielded triads, PLTC</t>
        </is>
      </c>
      <c r="K3350" s="12" t="inlineStr">
        <is>
          <t>RTD|12 tri|18</t>
        </is>
      </c>
      <c r="L3350" s="12" t="inlineStr">
        <is>
          <t>12 tri</t>
        </is>
      </c>
      <c r="M3350" s="12" t="inlineStr">
        <is>
          <t>18</t>
        </is>
      </c>
      <c r="N3350" s="12" t="n">
        <v>1</v>
      </c>
      <c r="O3350" s="12" t="n">
        <v>1</v>
      </c>
      <c r="P3350" s="12" t="n"/>
      <c r="Q3350" s="12" t="n"/>
      <c r="R3350" s="12" t="n"/>
      <c r="S3350" s="12" t="inlineStr">
        <is>
          <t>Duct bank</t>
        </is>
      </c>
      <c r="T3350" s="15" t="n">
        <v>385</v>
      </c>
      <c r="U3350" s="15" t="n">
        <v>219</v>
      </c>
      <c r="V3350" s="15">
        <f>ROUNDUP((T3350+U3350+2*'Read Me'!$B$13)*(1+'Read Me'!$B$12),-1)</f>
        <v/>
      </c>
      <c r="W3350" s="15">
        <f>V3350*N3350*O3350</f>
        <v/>
      </c>
      <c r="X3350" s="12">
        <f>IF(LEFT(I3350,2)="MV",2*N3350*IF(L3350="1/C",O3350,1),0)</f>
        <v/>
      </c>
      <c r="Y3350" s="12">
        <f>IF(OR(LEFT(K3350,4)="LVAX",LEFT(K3350,6)="MV15AX",LEFT(K3350,4)="CTAX",LEFT(K3350,2)="W|"),2*N3350*O3350,0)</f>
        <v/>
      </c>
      <c r="Z3350" s="12" t="inlineStr"/>
      <c r="AA3350" s="12">
        <f>N3350*O3350</f>
        <v/>
      </c>
    </row>
    <row r="3351">
      <c r="A3351" s="12" t="inlineStr">
        <is>
          <t>G-I-0077</t>
        </is>
      </c>
      <c r="B3351" s="12" t="inlineStr">
        <is>
          <t>G</t>
        </is>
      </c>
      <c r="C3351" s="12" t="inlineStr">
        <is>
          <t>Carbon capture</t>
        </is>
      </c>
      <c r="D3351" s="12" t="inlineStr">
        <is>
          <t>Analog instrument to JB JB-CCS T-1-AI01: 8 x 1 pr (field cables)</t>
        </is>
      </c>
      <c r="E3351" s="12" t="inlineStr">
        <is>
          <t>CCS T-1</t>
        </is>
      </c>
      <c r="F3351" s="12" t="inlineStr">
        <is>
          <t>CCS T-1: 230/13.8 kV</t>
        </is>
      </c>
      <c r="G3351" s="12" t="inlineStr">
        <is>
          <t>JB-CCS T-1-AI01</t>
        </is>
      </c>
      <c r="H3351" s="12" t="inlineStr">
        <is>
          <t>CCS T-1: 230/13.8 kV</t>
        </is>
      </c>
      <c r="I3351" s="12" t="inlineStr">
        <is>
          <t>Instrumentation</t>
        </is>
      </c>
      <c r="J3351" s="12" t="inlineStr">
        <is>
          <t>Instrumentation PLTC / TC-ER 300 V, #18 twisted shielded pairs, overall shield</t>
        </is>
      </c>
      <c r="K3351" s="12" t="inlineStr">
        <is>
          <t>PLTC|1 pr|16</t>
        </is>
      </c>
      <c r="L3351" s="12" t="inlineStr">
        <is>
          <t>1 pr</t>
        </is>
      </c>
      <c r="M3351" s="12" t="inlineStr">
        <is>
          <t>16</t>
        </is>
      </c>
      <c r="N3351" s="12" t="n">
        <v>8</v>
      </c>
      <c r="O3351" s="12" t="n">
        <v>1</v>
      </c>
      <c r="P3351" s="12" t="n"/>
      <c r="Q3351" s="12" t="n"/>
      <c r="R3351" s="12" t="n"/>
      <c r="S3351" s="12" t="inlineStr">
        <is>
          <t>Tray / conduit</t>
        </is>
      </c>
      <c r="T3351" s="15" t="n">
        <v>82</v>
      </c>
      <c r="U3351" s="15" t="n">
        <v>10</v>
      </c>
      <c r="V3351" s="15">
        <f>ROUNDUP((T3351+U3351+2*'Read Me'!$B$13)*(1+'Read Me'!$B$12),-1)</f>
        <v/>
      </c>
      <c r="W3351" s="15">
        <f>V3351*N3351*O3351</f>
        <v/>
      </c>
      <c r="X3351" s="12">
        <f>IF(LEFT(I3351,2)="MV",2*N3351*IF(L3351="1/C",O3351,1),0)</f>
        <v/>
      </c>
      <c r="Y3351" s="12">
        <f>IF(OR(LEFT(K3351,4)="LVAX",LEFT(K3351,6)="MV15AX",LEFT(K3351,4)="CTAX",LEFT(K3351,2)="W|"),2*N3351*O3351,0)</f>
        <v/>
      </c>
      <c r="Z3351" s="12" t="inlineStr">
        <is>
          <t>device-to-JB field wiring, one cable per device</t>
        </is>
      </c>
      <c r="AA3351" s="12">
        <f>N3351*O3351</f>
        <v/>
      </c>
    </row>
    <row r="3352">
      <c r="A3352" s="12" t="inlineStr">
        <is>
          <t>G-I-0078</t>
        </is>
      </c>
      <c r="B3352" s="12" t="inlineStr">
        <is>
          <t>G</t>
        </is>
      </c>
      <c r="C3352" s="12" t="inlineStr">
        <is>
          <t>Carbon capture</t>
        </is>
      </c>
      <c r="D3352" s="12" t="inlineStr">
        <is>
          <t>Home run JB-CCS T-1-AI01 to the control / marshalling room</t>
        </is>
      </c>
      <c r="E3352" s="12" t="inlineStr"/>
      <c r="F3352" s="12" t="inlineStr">
        <is>
          <t>CCS F&amp;G / control</t>
        </is>
      </c>
      <c r="G3352" s="12" t="inlineStr">
        <is>
          <t>JB-CCS T-1-AI01</t>
        </is>
      </c>
      <c r="H3352" s="12" t="inlineStr">
        <is>
          <t>CCS T-1: 230/13.8 kV</t>
        </is>
      </c>
      <c r="I3352" s="12" t="inlineStr">
        <is>
          <t>Instrumentation</t>
        </is>
      </c>
      <c r="J3352" s="12" t="inlineStr">
        <is>
          <t>Instrumentation PLTC / TC-ER 300 V, #18 twisted shielded pairs, overall shield</t>
        </is>
      </c>
      <c r="K3352" s="12" t="inlineStr">
        <is>
          <t>PLTC|24 pr|18</t>
        </is>
      </c>
      <c r="L3352" s="12" t="inlineStr">
        <is>
          <t>24 pr</t>
        </is>
      </c>
      <c r="M3352" s="12" t="inlineStr">
        <is>
          <t>18</t>
        </is>
      </c>
      <c r="N3352" s="12" t="n">
        <v>1</v>
      </c>
      <c r="O3352" s="12" t="n">
        <v>1</v>
      </c>
      <c r="P3352" s="12" t="n"/>
      <c r="Q3352" s="12" t="n"/>
      <c r="R3352" s="12" t="n"/>
      <c r="S3352" s="12" t="inlineStr">
        <is>
          <t>HV duct bank</t>
        </is>
      </c>
      <c r="T3352" s="15" t="n">
        <v>77</v>
      </c>
      <c r="U3352" s="15" t="n">
        <v>103</v>
      </c>
      <c r="V3352" s="15">
        <f>ROUNDUP((T3352+U3352+2*'Read Me'!$B$13)*(1+'Read Me'!$B$12),-1)</f>
        <v/>
      </c>
      <c r="W3352" s="15">
        <f>V3352*N3352*O3352</f>
        <v/>
      </c>
      <c r="X3352" s="12">
        <f>IF(LEFT(I3352,2)="MV",2*N3352*IF(L3352="1/C",O3352,1),0)</f>
        <v/>
      </c>
      <c r="Y3352" s="12">
        <f>IF(OR(LEFT(K3352,4)="LVAX",LEFT(K3352,6)="MV15AX",LEFT(K3352,4)="CTAX",LEFT(K3352,2)="W|"),2*N3352*O3352,0)</f>
        <v/>
      </c>
      <c r="Z3352" s="12" t="inlineStr"/>
      <c r="AA3352" s="12">
        <f>N3352*O3352</f>
        <v/>
      </c>
    </row>
    <row r="3353">
      <c r="A3353" s="12" t="inlineStr">
        <is>
          <t>G-I-0079</t>
        </is>
      </c>
      <c r="B3353" s="12" t="inlineStr">
        <is>
          <t>G</t>
        </is>
      </c>
      <c r="C3353" s="12" t="inlineStr">
        <is>
          <t>Carbon capture</t>
        </is>
      </c>
      <c r="D3353" s="12" t="inlineStr">
        <is>
          <t>Discrete device to JB JB-CCS T-1-DI01: 16 x 1 pr (field cables)</t>
        </is>
      </c>
      <c r="E3353" s="12" t="inlineStr">
        <is>
          <t>CCS T-1</t>
        </is>
      </c>
      <c r="F3353" s="12" t="inlineStr">
        <is>
          <t>CCS T-1: 230/13.8 kV</t>
        </is>
      </c>
      <c r="G3353" s="12" t="inlineStr">
        <is>
          <t>JB-CCS T-1-DI01</t>
        </is>
      </c>
      <c r="H3353" s="12" t="inlineStr">
        <is>
          <t>CCS T-1: 230/13.8 kV</t>
        </is>
      </c>
      <c r="I3353" s="12" t="inlineStr">
        <is>
          <t>Instrumentation</t>
        </is>
      </c>
      <c r="J3353" s="12" t="inlineStr">
        <is>
          <t>Instrumentation PLTC / TC-ER 300 V, #18 twisted shielded pairs, overall shield</t>
        </is>
      </c>
      <c r="K3353" s="12" t="inlineStr">
        <is>
          <t>PLTC|1 pr|16</t>
        </is>
      </c>
      <c r="L3353" s="12" t="inlineStr">
        <is>
          <t>1 pr</t>
        </is>
      </c>
      <c r="M3353" s="12" t="inlineStr">
        <is>
          <t>16</t>
        </is>
      </c>
      <c r="N3353" s="12" t="n">
        <v>16</v>
      </c>
      <c r="O3353" s="12" t="n">
        <v>1</v>
      </c>
      <c r="P3353" s="12" t="n"/>
      <c r="Q3353" s="12" t="n"/>
      <c r="R3353" s="12" t="n"/>
      <c r="S3353" s="12" t="inlineStr">
        <is>
          <t>Tray / conduit</t>
        </is>
      </c>
      <c r="T3353" s="15" t="n">
        <v>82</v>
      </c>
      <c r="U3353" s="15" t="n">
        <v>10</v>
      </c>
      <c r="V3353" s="15">
        <f>ROUNDUP((T3353+U3353+2*'Read Me'!$B$13)*(1+'Read Me'!$B$12),-1)</f>
        <v/>
      </c>
      <c r="W3353" s="15">
        <f>V3353*N3353*O3353</f>
        <v/>
      </c>
      <c r="X3353" s="12">
        <f>IF(LEFT(I3353,2)="MV",2*N3353*IF(L3353="1/C",O3353,1),0)</f>
        <v/>
      </c>
      <c r="Y3353" s="12">
        <f>IF(OR(LEFT(K3353,4)="LVAX",LEFT(K3353,6)="MV15AX",LEFT(K3353,4)="CTAX",LEFT(K3353,2)="W|"),2*N3353*O3353,0)</f>
        <v/>
      </c>
      <c r="Z3353" s="12" t="inlineStr">
        <is>
          <t>device-to-JB field wiring, one cable per device</t>
        </is>
      </c>
      <c r="AA3353" s="12">
        <f>N3353*O3353</f>
        <v/>
      </c>
    </row>
    <row r="3354">
      <c r="A3354" s="12" t="inlineStr">
        <is>
          <t>G-I-0080</t>
        </is>
      </c>
      <c r="B3354" s="12" t="inlineStr">
        <is>
          <t>G</t>
        </is>
      </c>
      <c r="C3354" s="12" t="inlineStr">
        <is>
          <t>Carbon capture</t>
        </is>
      </c>
      <c r="D3354" s="12" t="inlineStr">
        <is>
          <t>Home run JB-CCS T-1-DI01 to the control / marshalling room</t>
        </is>
      </c>
      <c r="E3354" s="12" t="inlineStr"/>
      <c r="F3354" s="12" t="inlineStr">
        <is>
          <t>CCS F&amp;G / control</t>
        </is>
      </c>
      <c r="G3354" s="12" t="inlineStr">
        <is>
          <t>JB-CCS T-1-DI01</t>
        </is>
      </c>
      <c r="H3354" s="12" t="inlineStr">
        <is>
          <t>CCS T-1: 230/13.8 kV</t>
        </is>
      </c>
      <c r="I3354" s="12" t="inlineStr">
        <is>
          <t>Instrumentation</t>
        </is>
      </c>
      <c r="J3354" s="12" t="inlineStr">
        <is>
          <t>Instrumentation PLTC / TC-ER 300 V, #18 twisted shielded pairs, overall shield</t>
        </is>
      </c>
      <c r="K3354" s="12" t="inlineStr">
        <is>
          <t>PLTC|24 pr|18</t>
        </is>
      </c>
      <c r="L3354" s="12" t="inlineStr">
        <is>
          <t>24 pr</t>
        </is>
      </c>
      <c r="M3354" s="12" t="inlineStr">
        <is>
          <t>18</t>
        </is>
      </c>
      <c r="N3354" s="12" t="n">
        <v>1</v>
      </c>
      <c r="O3354" s="12" t="n">
        <v>1</v>
      </c>
      <c r="P3354" s="12" t="n"/>
      <c r="Q3354" s="12" t="n"/>
      <c r="R3354" s="12" t="n"/>
      <c r="S3354" s="12" t="inlineStr">
        <is>
          <t>HV duct bank</t>
        </is>
      </c>
      <c r="T3354" s="15" t="n">
        <v>77</v>
      </c>
      <c r="U3354" s="15" t="n">
        <v>103</v>
      </c>
      <c r="V3354" s="15">
        <f>ROUNDUP((T3354+U3354+2*'Read Me'!$B$13)*(1+'Read Me'!$B$12),-1)</f>
        <v/>
      </c>
      <c r="W3354" s="15">
        <f>V3354*N3354*O3354</f>
        <v/>
      </c>
      <c r="X3354" s="12">
        <f>IF(LEFT(I3354,2)="MV",2*N3354*IF(L3354="1/C",O3354,1),0)</f>
        <v/>
      </c>
      <c r="Y3354" s="12">
        <f>IF(OR(LEFT(K3354,4)="LVAX",LEFT(K3354,6)="MV15AX",LEFT(K3354,4)="CTAX",LEFT(K3354,2)="W|"),2*N3354*O3354,0)</f>
        <v/>
      </c>
      <c r="Z3354" s="12" t="inlineStr"/>
      <c r="AA3354" s="12">
        <f>N3354*O3354</f>
        <v/>
      </c>
    </row>
    <row r="3355">
      <c r="A3355" s="12" t="inlineStr">
        <is>
          <t>G-I-0081</t>
        </is>
      </c>
      <c r="B3355" s="12" t="inlineStr">
        <is>
          <t>G</t>
        </is>
      </c>
      <c r="C3355" s="12" t="inlineStr">
        <is>
          <t>Carbon capture</t>
        </is>
      </c>
      <c r="D3355" s="12" t="inlineStr">
        <is>
          <t>Analog instrument to JB JB-CCS T-2-AI01: 8 x 1 pr (field cables)</t>
        </is>
      </c>
      <c r="E3355" s="12" t="inlineStr">
        <is>
          <t>CCS T-2</t>
        </is>
      </c>
      <c r="F3355" s="12" t="inlineStr">
        <is>
          <t>CCS T-2: 230/13.8 kV</t>
        </is>
      </c>
      <c r="G3355" s="12" t="inlineStr">
        <is>
          <t>JB-CCS T-2-AI01</t>
        </is>
      </c>
      <c r="H3355" s="12" t="inlineStr">
        <is>
          <t>CCS T-2: 230/13.8 kV</t>
        </is>
      </c>
      <c r="I3355" s="12" t="inlineStr">
        <is>
          <t>Instrumentation</t>
        </is>
      </c>
      <c r="J3355" s="12" t="inlineStr">
        <is>
          <t>Instrumentation PLTC / TC-ER 300 V, #18 twisted shielded pairs, overall shield</t>
        </is>
      </c>
      <c r="K3355" s="12" t="inlineStr">
        <is>
          <t>PLTC|1 pr|16</t>
        </is>
      </c>
      <c r="L3355" s="12" t="inlineStr">
        <is>
          <t>1 pr</t>
        </is>
      </c>
      <c r="M3355" s="12" t="inlineStr">
        <is>
          <t>16</t>
        </is>
      </c>
      <c r="N3355" s="12" t="n">
        <v>8</v>
      </c>
      <c r="O3355" s="12" t="n">
        <v>1</v>
      </c>
      <c r="P3355" s="12" t="n"/>
      <c r="Q3355" s="12" t="n"/>
      <c r="R3355" s="12" t="n"/>
      <c r="S3355" s="12" t="inlineStr">
        <is>
          <t>Tray / conduit</t>
        </is>
      </c>
      <c r="T3355" s="15" t="n">
        <v>82</v>
      </c>
      <c r="U3355" s="15" t="n">
        <v>10</v>
      </c>
      <c r="V3355" s="15">
        <f>ROUNDUP((T3355+U3355+2*'Read Me'!$B$13)*(1+'Read Me'!$B$12),-1)</f>
        <v/>
      </c>
      <c r="W3355" s="15">
        <f>V3355*N3355*O3355</f>
        <v/>
      </c>
      <c r="X3355" s="12">
        <f>IF(LEFT(I3355,2)="MV",2*N3355*IF(L3355="1/C",O3355,1),0)</f>
        <v/>
      </c>
      <c r="Y3355" s="12">
        <f>IF(OR(LEFT(K3355,4)="LVAX",LEFT(K3355,6)="MV15AX",LEFT(K3355,4)="CTAX",LEFT(K3355,2)="W|"),2*N3355*O3355,0)</f>
        <v/>
      </c>
      <c r="Z3355" s="12" t="inlineStr">
        <is>
          <t>device-to-JB field wiring, one cable per device</t>
        </is>
      </c>
      <c r="AA3355" s="12">
        <f>N3355*O3355</f>
        <v/>
      </c>
    </row>
    <row r="3356">
      <c r="A3356" s="12" t="inlineStr">
        <is>
          <t>G-I-0082</t>
        </is>
      </c>
      <c r="B3356" s="12" t="inlineStr">
        <is>
          <t>G</t>
        </is>
      </c>
      <c r="C3356" s="12" t="inlineStr">
        <is>
          <t>Carbon capture</t>
        </is>
      </c>
      <c r="D3356" s="12" t="inlineStr">
        <is>
          <t>Home run JB-CCS T-2-AI01 to the control / marshalling room</t>
        </is>
      </c>
      <c r="E3356" s="12" t="inlineStr"/>
      <c r="F3356" s="12" t="inlineStr">
        <is>
          <t>CCS F&amp;G / control</t>
        </is>
      </c>
      <c r="G3356" s="12" t="inlineStr">
        <is>
          <t>JB-CCS T-2-AI01</t>
        </is>
      </c>
      <c r="H3356" s="12" t="inlineStr">
        <is>
          <t>CCS T-2: 230/13.8 kV</t>
        </is>
      </c>
      <c r="I3356" s="12" t="inlineStr">
        <is>
          <t>Instrumentation</t>
        </is>
      </c>
      <c r="J3356" s="12" t="inlineStr">
        <is>
          <t>Instrumentation PLTC / TC-ER 300 V, #18 twisted shielded pairs, overall shield</t>
        </is>
      </c>
      <c r="K3356" s="12" t="inlineStr">
        <is>
          <t>PLTC|24 pr|18</t>
        </is>
      </c>
      <c r="L3356" s="12" t="inlineStr">
        <is>
          <t>24 pr</t>
        </is>
      </c>
      <c r="M3356" s="12" t="inlineStr">
        <is>
          <t>18</t>
        </is>
      </c>
      <c r="N3356" s="12" t="n">
        <v>1</v>
      </c>
      <c r="O3356" s="12" t="n">
        <v>1</v>
      </c>
      <c r="P3356" s="12" t="n"/>
      <c r="Q3356" s="12" t="n"/>
      <c r="R3356" s="12" t="n"/>
      <c r="S3356" s="12" t="inlineStr">
        <is>
          <t>Tray</t>
        </is>
      </c>
      <c r="T3356" s="15" t="n">
        <v>11</v>
      </c>
      <c r="U3356" s="15" t="n">
        <v>101</v>
      </c>
      <c r="V3356" s="15">
        <f>ROUNDUP((T3356+U3356+2*'Read Me'!$B$13)*(1+'Read Me'!$B$12),-1)</f>
        <v/>
      </c>
      <c r="W3356" s="15">
        <f>V3356*N3356*O3356</f>
        <v/>
      </c>
      <c r="X3356" s="12">
        <f>IF(LEFT(I3356,2)="MV",2*N3356*IF(L3356="1/C",O3356,1),0)</f>
        <v/>
      </c>
      <c r="Y3356" s="12">
        <f>IF(OR(LEFT(K3356,4)="LVAX",LEFT(K3356,6)="MV15AX",LEFT(K3356,4)="CTAX",LEFT(K3356,2)="W|"),2*N3356*O3356,0)</f>
        <v/>
      </c>
      <c r="Z3356" s="12" t="inlineStr"/>
      <c r="AA3356" s="12">
        <f>N3356*O3356</f>
        <v/>
      </c>
    </row>
    <row r="3357">
      <c r="A3357" s="12" t="inlineStr">
        <is>
          <t>G-I-0083</t>
        </is>
      </c>
      <c r="B3357" s="12" t="inlineStr">
        <is>
          <t>G</t>
        </is>
      </c>
      <c r="C3357" s="12" t="inlineStr">
        <is>
          <t>Carbon capture</t>
        </is>
      </c>
      <c r="D3357" s="12" t="inlineStr">
        <is>
          <t>Discrete device to JB JB-CCS T-2-DI01: 16 x 1 pr (field cables)</t>
        </is>
      </c>
      <c r="E3357" s="12" t="inlineStr">
        <is>
          <t>CCS T-2</t>
        </is>
      </c>
      <c r="F3357" s="12" t="inlineStr">
        <is>
          <t>CCS T-2: 230/13.8 kV</t>
        </is>
      </c>
      <c r="G3357" s="12" t="inlineStr">
        <is>
          <t>JB-CCS T-2-DI01</t>
        </is>
      </c>
      <c r="H3357" s="12" t="inlineStr">
        <is>
          <t>CCS T-2: 230/13.8 kV</t>
        </is>
      </c>
      <c r="I3357" s="12" t="inlineStr">
        <is>
          <t>Instrumentation</t>
        </is>
      </c>
      <c r="J3357" s="12" t="inlineStr">
        <is>
          <t>Instrumentation PLTC / TC-ER 300 V, #18 twisted shielded pairs, overall shield</t>
        </is>
      </c>
      <c r="K3357" s="12" t="inlineStr">
        <is>
          <t>PLTC|1 pr|16</t>
        </is>
      </c>
      <c r="L3357" s="12" t="inlineStr">
        <is>
          <t>1 pr</t>
        </is>
      </c>
      <c r="M3357" s="12" t="inlineStr">
        <is>
          <t>16</t>
        </is>
      </c>
      <c r="N3357" s="12" t="n">
        <v>16</v>
      </c>
      <c r="O3357" s="12" t="n">
        <v>1</v>
      </c>
      <c r="P3357" s="12" t="n"/>
      <c r="Q3357" s="12" t="n"/>
      <c r="R3357" s="12" t="n"/>
      <c r="S3357" s="12" t="inlineStr">
        <is>
          <t>Tray / conduit</t>
        </is>
      </c>
      <c r="T3357" s="15" t="n">
        <v>82</v>
      </c>
      <c r="U3357" s="15" t="n">
        <v>10</v>
      </c>
      <c r="V3357" s="15">
        <f>ROUNDUP((T3357+U3357+2*'Read Me'!$B$13)*(1+'Read Me'!$B$12),-1)</f>
        <v/>
      </c>
      <c r="W3357" s="15">
        <f>V3357*N3357*O3357</f>
        <v/>
      </c>
      <c r="X3357" s="12">
        <f>IF(LEFT(I3357,2)="MV",2*N3357*IF(L3357="1/C",O3357,1),0)</f>
        <v/>
      </c>
      <c r="Y3357" s="12">
        <f>IF(OR(LEFT(K3357,4)="LVAX",LEFT(K3357,6)="MV15AX",LEFT(K3357,4)="CTAX",LEFT(K3357,2)="W|"),2*N3357*O3357,0)</f>
        <v/>
      </c>
      <c r="Z3357" s="12" t="inlineStr">
        <is>
          <t>device-to-JB field wiring, one cable per device</t>
        </is>
      </c>
      <c r="AA3357" s="12">
        <f>N3357*O3357</f>
        <v/>
      </c>
    </row>
    <row r="3358">
      <c r="A3358" s="12" t="inlineStr">
        <is>
          <t>G-I-0084</t>
        </is>
      </c>
      <c r="B3358" s="12" t="inlineStr">
        <is>
          <t>G</t>
        </is>
      </c>
      <c r="C3358" s="12" t="inlineStr">
        <is>
          <t>Carbon capture</t>
        </is>
      </c>
      <c r="D3358" s="12" t="inlineStr">
        <is>
          <t>Home run JB-CCS T-2-DI01 to the control / marshalling room</t>
        </is>
      </c>
      <c r="E3358" s="12" t="inlineStr"/>
      <c r="F3358" s="12" t="inlineStr">
        <is>
          <t>CCS F&amp;G / control</t>
        </is>
      </c>
      <c r="G3358" s="12" t="inlineStr">
        <is>
          <t>JB-CCS T-2-DI01</t>
        </is>
      </c>
      <c r="H3358" s="12" t="inlineStr">
        <is>
          <t>CCS T-2: 230/13.8 kV</t>
        </is>
      </c>
      <c r="I3358" s="12" t="inlineStr">
        <is>
          <t>Instrumentation</t>
        </is>
      </c>
      <c r="J3358" s="12" t="inlineStr">
        <is>
          <t>Instrumentation PLTC / TC-ER 300 V, #18 twisted shielded pairs, overall shield</t>
        </is>
      </c>
      <c r="K3358" s="12" t="inlineStr">
        <is>
          <t>PLTC|24 pr|18</t>
        </is>
      </c>
      <c r="L3358" s="12" t="inlineStr">
        <is>
          <t>24 pr</t>
        </is>
      </c>
      <c r="M3358" s="12" t="inlineStr">
        <is>
          <t>18</t>
        </is>
      </c>
      <c r="N3358" s="12" t="n">
        <v>1</v>
      </c>
      <c r="O3358" s="12" t="n">
        <v>1</v>
      </c>
      <c r="P3358" s="12" t="n"/>
      <c r="Q3358" s="12" t="n"/>
      <c r="R3358" s="12" t="n"/>
      <c r="S3358" s="12" t="inlineStr">
        <is>
          <t>Tray</t>
        </is>
      </c>
      <c r="T3358" s="15" t="n">
        <v>11</v>
      </c>
      <c r="U3358" s="15" t="n">
        <v>101</v>
      </c>
      <c r="V3358" s="15">
        <f>ROUNDUP((T3358+U3358+2*'Read Me'!$B$13)*(1+'Read Me'!$B$12),-1)</f>
        <v/>
      </c>
      <c r="W3358" s="15">
        <f>V3358*N3358*O3358</f>
        <v/>
      </c>
      <c r="X3358" s="12">
        <f>IF(LEFT(I3358,2)="MV",2*N3358*IF(L3358="1/C",O3358,1),0)</f>
        <v/>
      </c>
      <c r="Y3358" s="12">
        <f>IF(OR(LEFT(K3358,4)="LVAX",LEFT(K3358,6)="MV15AX",LEFT(K3358,4)="CTAX",LEFT(K3358,2)="W|"),2*N3358*O3358,0)</f>
        <v/>
      </c>
      <c r="Z3358" s="12" t="inlineStr"/>
      <c r="AA3358" s="12">
        <f>N3358*O3358</f>
        <v/>
      </c>
    </row>
    <row r="3359">
      <c r="A3359" s="12" t="inlineStr">
        <is>
          <t>G-I-0085</t>
        </is>
      </c>
      <c r="B3359" s="12" t="inlineStr">
        <is>
          <t>G</t>
        </is>
      </c>
      <c r="C3359" s="12" t="inlineStr">
        <is>
          <t>Carbon capture</t>
        </is>
      </c>
      <c r="D3359" s="12" t="inlineStr">
        <is>
          <t>Analog instrument to JB JB-CCS circulating-wa-AI01: 20 x 1 pr (field cables)</t>
        </is>
      </c>
      <c r="E3359" s="12" t="inlineStr"/>
      <c r="F3359" s="12" t="inlineStr">
        <is>
          <t>CCS circulating-water pumps</t>
        </is>
      </c>
      <c r="G3359" s="12" t="inlineStr">
        <is>
          <t>JB-CCS circulating-wa-AI01</t>
        </is>
      </c>
      <c r="H3359" s="12" t="inlineStr">
        <is>
          <t>CCS circulating-water pumps</t>
        </is>
      </c>
      <c r="I3359" s="12" t="inlineStr">
        <is>
          <t>Instrumentation</t>
        </is>
      </c>
      <c r="J3359" s="12" t="inlineStr">
        <is>
          <t>Instrumentation PLTC / TC-ER 300 V, #18 twisted shielded pairs, overall shield</t>
        </is>
      </c>
      <c r="K3359" s="12" t="inlineStr">
        <is>
          <t>PLTC|1 pr|16</t>
        </is>
      </c>
      <c r="L3359" s="12" t="inlineStr">
        <is>
          <t>1 pr</t>
        </is>
      </c>
      <c r="M3359" s="12" t="inlineStr">
        <is>
          <t>16</t>
        </is>
      </c>
      <c r="N3359" s="12" t="n">
        <v>20</v>
      </c>
      <c r="O3359" s="12" t="n">
        <v>1</v>
      </c>
      <c r="P3359" s="12" t="n"/>
      <c r="Q3359" s="12" t="n"/>
      <c r="R3359" s="12" t="n"/>
      <c r="S3359" s="12" t="inlineStr">
        <is>
          <t>Tray / conduit</t>
        </is>
      </c>
      <c r="T3359" s="15" t="n">
        <v>100</v>
      </c>
      <c r="U3359" s="15" t="n">
        <v>10</v>
      </c>
      <c r="V3359" s="15">
        <f>ROUNDUP((T3359+U3359+2*'Read Me'!$B$13)*(1+'Read Me'!$B$12),-1)</f>
        <v/>
      </c>
      <c r="W3359" s="15">
        <f>V3359*N3359*O3359</f>
        <v/>
      </c>
      <c r="X3359" s="12">
        <f>IF(LEFT(I3359,2)="MV",2*N3359*IF(L3359="1/C",O3359,1),0)</f>
        <v/>
      </c>
      <c r="Y3359" s="12">
        <f>IF(OR(LEFT(K3359,4)="LVAX",LEFT(K3359,6)="MV15AX",LEFT(K3359,4)="CTAX",LEFT(K3359,2)="W|"),2*N3359*O3359,0)</f>
        <v/>
      </c>
      <c r="Z3359" s="12" t="inlineStr">
        <is>
          <t>device-to-JB field wiring, one cable per device</t>
        </is>
      </c>
      <c r="AA3359" s="12">
        <f>N3359*O3359</f>
        <v/>
      </c>
    </row>
    <row r="3360">
      <c r="A3360" s="12" t="inlineStr">
        <is>
          <t>G-I-0086</t>
        </is>
      </c>
      <c r="B3360" s="12" t="inlineStr">
        <is>
          <t>G</t>
        </is>
      </c>
      <c r="C3360" s="12" t="inlineStr">
        <is>
          <t>Carbon capture</t>
        </is>
      </c>
      <c r="D3360" s="12" t="inlineStr">
        <is>
          <t>Home run JB-CCS circulating-wa-AI01 to the control / marshalling room</t>
        </is>
      </c>
      <c r="E3360" s="12" t="inlineStr"/>
      <c r="F3360" s="12" t="inlineStr">
        <is>
          <t>CCS F&amp;G / control</t>
        </is>
      </c>
      <c r="G3360" s="12" t="inlineStr">
        <is>
          <t>JB-CCS circulating-wa-AI01</t>
        </is>
      </c>
      <c r="H3360" s="12" t="inlineStr">
        <is>
          <t>CCS circulating-water pumps</t>
        </is>
      </c>
      <c r="I3360" s="12" t="inlineStr">
        <is>
          <t>Instrumentation</t>
        </is>
      </c>
      <c r="J3360" s="12" t="inlineStr">
        <is>
          <t>Instrumentation PLTC / TC-ER 300 V, #18 twisted shielded pairs, overall shield</t>
        </is>
      </c>
      <c r="K3360" s="12" t="inlineStr">
        <is>
          <t>PLTC|24 pr|18</t>
        </is>
      </c>
      <c r="L3360" s="12" t="inlineStr">
        <is>
          <t>24 pr</t>
        </is>
      </c>
      <c r="M3360" s="12" t="inlineStr">
        <is>
          <t>18</t>
        </is>
      </c>
      <c r="N3360" s="12" t="n">
        <v>1</v>
      </c>
      <c r="O3360" s="12" t="n">
        <v>1</v>
      </c>
      <c r="P3360" s="12" t="n"/>
      <c r="Q3360" s="12" t="n"/>
      <c r="R3360" s="12" t="n"/>
      <c r="S3360" s="12" t="inlineStr">
        <is>
          <t>Duct bank</t>
        </is>
      </c>
      <c r="T3360" s="15" t="n">
        <v>821</v>
      </c>
      <c r="U3360" s="15" t="n">
        <v>141</v>
      </c>
      <c r="V3360" s="15">
        <f>ROUNDUP((T3360+U3360+2*'Read Me'!$B$13)*(1+'Read Me'!$B$12),-1)</f>
        <v/>
      </c>
      <c r="W3360" s="15">
        <f>V3360*N3360*O3360</f>
        <v/>
      </c>
      <c r="X3360" s="12">
        <f>IF(LEFT(I3360,2)="MV",2*N3360*IF(L3360="1/C",O3360,1),0)</f>
        <v/>
      </c>
      <c r="Y3360" s="12">
        <f>IF(OR(LEFT(K3360,4)="LVAX",LEFT(K3360,6)="MV15AX",LEFT(K3360,4)="CTAX",LEFT(K3360,2)="W|"),2*N3360*O3360,0)</f>
        <v/>
      </c>
      <c r="Z3360" s="12" t="inlineStr"/>
      <c r="AA3360" s="12">
        <f>N3360*O3360</f>
        <v/>
      </c>
    </row>
    <row r="3361">
      <c r="A3361" s="12" t="inlineStr">
        <is>
          <t>G-I-0087</t>
        </is>
      </c>
      <c r="B3361" s="12" t="inlineStr">
        <is>
          <t>G</t>
        </is>
      </c>
      <c r="C3361" s="12" t="inlineStr">
        <is>
          <t>Carbon capture</t>
        </is>
      </c>
      <c r="D3361" s="12" t="inlineStr">
        <is>
          <t>Discrete device to JB JB-CCS circulating-wa-DI01: 20 x 1 pr (field cables)</t>
        </is>
      </c>
      <c r="E3361" s="12" t="inlineStr"/>
      <c r="F3361" s="12" t="inlineStr">
        <is>
          <t>CCS circulating-water pumps</t>
        </is>
      </c>
      <c r="G3361" s="12" t="inlineStr">
        <is>
          <t>JB-CCS circulating-wa-DI01</t>
        </is>
      </c>
      <c r="H3361" s="12" t="inlineStr">
        <is>
          <t>CCS circulating-water pumps</t>
        </is>
      </c>
      <c r="I3361" s="12" t="inlineStr">
        <is>
          <t>Instrumentation</t>
        </is>
      </c>
      <c r="J3361" s="12" t="inlineStr">
        <is>
          <t>Instrumentation PLTC / TC-ER 300 V, #18 twisted shielded pairs, overall shield</t>
        </is>
      </c>
      <c r="K3361" s="12" t="inlineStr">
        <is>
          <t>PLTC|1 pr|16</t>
        </is>
      </c>
      <c r="L3361" s="12" t="inlineStr">
        <is>
          <t>1 pr</t>
        </is>
      </c>
      <c r="M3361" s="12" t="inlineStr">
        <is>
          <t>16</t>
        </is>
      </c>
      <c r="N3361" s="12" t="n">
        <v>20</v>
      </c>
      <c r="O3361" s="12" t="n">
        <v>1</v>
      </c>
      <c r="P3361" s="12" t="n"/>
      <c r="Q3361" s="12" t="n"/>
      <c r="R3361" s="12" t="n"/>
      <c r="S3361" s="12" t="inlineStr">
        <is>
          <t>Tray / conduit</t>
        </is>
      </c>
      <c r="T3361" s="15" t="n">
        <v>100</v>
      </c>
      <c r="U3361" s="15" t="n">
        <v>10</v>
      </c>
      <c r="V3361" s="15">
        <f>ROUNDUP((T3361+U3361+2*'Read Me'!$B$13)*(1+'Read Me'!$B$12),-1)</f>
        <v/>
      </c>
      <c r="W3361" s="15">
        <f>V3361*N3361*O3361</f>
        <v/>
      </c>
      <c r="X3361" s="12">
        <f>IF(LEFT(I3361,2)="MV",2*N3361*IF(L3361="1/C",O3361,1),0)</f>
        <v/>
      </c>
      <c r="Y3361" s="12">
        <f>IF(OR(LEFT(K3361,4)="LVAX",LEFT(K3361,6)="MV15AX",LEFT(K3361,4)="CTAX",LEFT(K3361,2)="W|"),2*N3361*O3361,0)</f>
        <v/>
      </c>
      <c r="Z3361" s="12" t="inlineStr">
        <is>
          <t>device-to-JB field wiring, one cable per device</t>
        </is>
      </c>
      <c r="AA3361" s="12">
        <f>N3361*O3361</f>
        <v/>
      </c>
    </row>
    <row r="3362">
      <c r="A3362" s="12" t="inlineStr">
        <is>
          <t>G-I-0088</t>
        </is>
      </c>
      <c r="B3362" s="12" t="inlineStr">
        <is>
          <t>G</t>
        </is>
      </c>
      <c r="C3362" s="12" t="inlineStr">
        <is>
          <t>Carbon capture</t>
        </is>
      </c>
      <c r="D3362" s="12" t="inlineStr">
        <is>
          <t>Home run JB-CCS circulating-wa-DI01 to the control / marshalling room</t>
        </is>
      </c>
      <c r="E3362" s="12" t="inlineStr"/>
      <c r="F3362" s="12" t="inlineStr">
        <is>
          <t>CCS F&amp;G / control</t>
        </is>
      </c>
      <c r="G3362" s="12" t="inlineStr">
        <is>
          <t>JB-CCS circulating-wa-DI01</t>
        </is>
      </c>
      <c r="H3362" s="12" t="inlineStr">
        <is>
          <t>CCS circulating-water pumps</t>
        </is>
      </c>
      <c r="I3362" s="12" t="inlineStr">
        <is>
          <t>Instrumentation</t>
        </is>
      </c>
      <c r="J3362" s="12" t="inlineStr">
        <is>
          <t>Instrumentation PLTC / TC-ER 300 V, #18 twisted shielded pairs, overall shield</t>
        </is>
      </c>
      <c r="K3362" s="12" t="inlineStr">
        <is>
          <t>PLTC|24 pr|18</t>
        </is>
      </c>
      <c r="L3362" s="12" t="inlineStr">
        <is>
          <t>24 pr</t>
        </is>
      </c>
      <c r="M3362" s="12" t="inlineStr">
        <is>
          <t>18</t>
        </is>
      </c>
      <c r="N3362" s="12" t="n">
        <v>1</v>
      </c>
      <c r="O3362" s="12" t="n">
        <v>1</v>
      </c>
      <c r="P3362" s="12" t="n"/>
      <c r="Q3362" s="12" t="n"/>
      <c r="R3362" s="12" t="n"/>
      <c r="S3362" s="12" t="inlineStr">
        <is>
          <t>Duct bank</t>
        </is>
      </c>
      <c r="T3362" s="15" t="n">
        <v>821</v>
      </c>
      <c r="U3362" s="15" t="n">
        <v>141</v>
      </c>
      <c r="V3362" s="15">
        <f>ROUNDUP((T3362+U3362+2*'Read Me'!$B$13)*(1+'Read Me'!$B$12),-1)</f>
        <v/>
      </c>
      <c r="W3362" s="15">
        <f>V3362*N3362*O3362</f>
        <v/>
      </c>
      <c r="X3362" s="12">
        <f>IF(LEFT(I3362,2)="MV",2*N3362*IF(L3362="1/C",O3362,1),0)</f>
        <v/>
      </c>
      <c r="Y3362" s="12">
        <f>IF(OR(LEFT(K3362,4)="LVAX",LEFT(K3362,6)="MV15AX",LEFT(K3362,4)="CTAX",LEFT(K3362,2)="W|"),2*N3362*O3362,0)</f>
        <v/>
      </c>
      <c r="Z3362" s="12" t="inlineStr"/>
      <c r="AA3362" s="12">
        <f>N3362*O3362</f>
        <v/>
      </c>
    </row>
    <row r="3363">
      <c r="A3363" s="12" t="inlineStr">
        <is>
          <t>G-I-0089</t>
        </is>
      </c>
      <c r="B3363" s="12" t="inlineStr">
        <is>
          <t>G</t>
        </is>
      </c>
      <c r="C3363" s="12" t="inlineStr">
        <is>
          <t>Carbon capture</t>
        </is>
      </c>
      <c r="D3363" s="12" t="inlineStr">
        <is>
          <t>Analog instrument to JB JB-CCS-CT-AI01: 20 x 1 pr (field cables)</t>
        </is>
      </c>
      <c r="E3363" s="12" t="inlineStr">
        <is>
          <t>CCS-CT</t>
        </is>
      </c>
      <c r="F3363" s="12" t="inlineStr">
        <is>
          <t>CCS cooling tower (~30 cells): CCS process cooling only</t>
        </is>
      </c>
      <c r="G3363" s="12" t="inlineStr">
        <is>
          <t>JB-CCS-CT-AI01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PLTC|1 pr|16</t>
        </is>
      </c>
      <c r="L3363" s="12" t="inlineStr">
        <is>
          <t>1 pr</t>
        </is>
      </c>
      <c r="M3363" s="12" t="inlineStr">
        <is>
          <t>16</t>
        </is>
      </c>
      <c r="N3363" s="12" t="n">
        <v>20</v>
      </c>
      <c r="O3363" s="12" t="n">
        <v>1</v>
      </c>
      <c r="P3363" s="12" t="n"/>
      <c r="Q3363" s="12" t="n"/>
      <c r="R3363" s="12" t="n"/>
      <c r="S3363" s="12" t="inlineStr">
        <is>
          <t>Tray / conduit</t>
        </is>
      </c>
      <c r="T3363" s="15" t="n">
        <v>250</v>
      </c>
      <c r="U3363" s="15" t="n">
        <v>10</v>
      </c>
      <c r="V3363" s="15">
        <f>ROUNDUP((T3363+U3363+2*'Read Me'!$B$13)*(1+'Read Me'!$B$12),-1)</f>
        <v/>
      </c>
      <c r="W3363" s="15">
        <f>V3363*N3363*O3363</f>
        <v/>
      </c>
      <c r="X3363" s="12">
        <f>IF(LEFT(I3363,2)="MV",2*N3363*IF(L3363="1/C",O3363,1),0)</f>
        <v/>
      </c>
      <c r="Y3363" s="12">
        <f>IF(OR(LEFT(K3363,4)="LVAX",LEFT(K3363,6)="MV15AX",LEFT(K3363,4)="CTAX",LEFT(K3363,2)="W|"),2*N3363*O3363,0)</f>
        <v/>
      </c>
      <c r="Z3363" s="12" t="inlineStr">
        <is>
          <t>device-to-JB field wiring, one cable per device</t>
        </is>
      </c>
      <c r="AA3363" s="12">
        <f>N3363*O3363</f>
        <v/>
      </c>
    </row>
    <row r="3364">
      <c r="A3364" s="12" t="inlineStr">
        <is>
          <t>G-I-0090</t>
        </is>
      </c>
      <c r="B3364" s="12" t="inlineStr">
        <is>
          <t>G</t>
        </is>
      </c>
      <c r="C3364" s="12" t="inlineStr">
        <is>
          <t>Carbon capture</t>
        </is>
      </c>
      <c r="D3364" s="12" t="inlineStr">
        <is>
          <t>Home run JB-CCS-CT-AI01 to the control / marshalling room</t>
        </is>
      </c>
      <c r="E3364" s="12" t="inlineStr"/>
      <c r="F3364" s="12" t="inlineStr">
        <is>
          <t>CCS F&amp;G / control</t>
        </is>
      </c>
      <c r="G3364" s="12" t="inlineStr">
        <is>
          <t>JB-CCS-CT-AI01</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PLTC|24 pr|18</t>
        </is>
      </c>
      <c r="L3364" s="12" t="inlineStr">
        <is>
          <t>24 pr</t>
        </is>
      </c>
      <c r="M3364" s="12" t="inlineStr">
        <is>
          <t>18</t>
        </is>
      </c>
      <c r="N3364" s="12" t="n">
        <v>1</v>
      </c>
      <c r="O3364" s="12" t="n">
        <v>1</v>
      </c>
      <c r="P3364" s="12" t="n"/>
      <c r="Q3364" s="12" t="n"/>
      <c r="R3364" s="12" t="n"/>
      <c r="S3364" s="12" t="inlineStr">
        <is>
          <t>Duct bank</t>
        </is>
      </c>
      <c r="T3364" s="15" t="n">
        <v>911</v>
      </c>
      <c r="U3364" s="15" t="n">
        <v>111</v>
      </c>
      <c r="V3364" s="15">
        <f>ROUNDUP((T3364+U3364+2*'Read Me'!$B$13)*(1+'Read Me'!$B$12),-1)</f>
        <v/>
      </c>
      <c r="W3364" s="15">
        <f>V3364*N3364*O3364</f>
        <v/>
      </c>
      <c r="X3364" s="12">
        <f>IF(LEFT(I3364,2)="MV",2*N3364*IF(L3364="1/C",O3364,1),0)</f>
        <v/>
      </c>
      <c r="Y3364" s="12">
        <f>IF(OR(LEFT(K3364,4)="LVAX",LEFT(K3364,6)="MV15AX",LEFT(K3364,4)="CTAX",LEFT(K3364,2)="W|"),2*N3364*O3364,0)</f>
        <v/>
      </c>
      <c r="Z3364" s="12" t="inlineStr"/>
      <c r="AA3364" s="12">
        <f>N3364*O3364</f>
        <v/>
      </c>
    </row>
    <row r="3365">
      <c r="A3365" s="12" t="inlineStr">
        <is>
          <t>G-I-0091</t>
        </is>
      </c>
      <c r="B3365" s="12" t="inlineStr">
        <is>
          <t>G</t>
        </is>
      </c>
      <c r="C3365" s="12" t="inlineStr">
        <is>
          <t>Carbon capture</t>
        </is>
      </c>
      <c r="D3365" s="12" t="inlineStr">
        <is>
          <t>Analog instrument to JB JB-CCS-CT-AI02: 10 x 1 pr (field cables)</t>
        </is>
      </c>
      <c r="E3365" s="12" t="inlineStr">
        <is>
          <t>CCS-CT</t>
        </is>
      </c>
      <c r="F3365" s="12" t="inlineStr">
        <is>
          <t>CCS cooling tower (~30 cells): CCS process cooling only</t>
        </is>
      </c>
      <c r="G3365" s="12" t="inlineStr">
        <is>
          <t>JB-CCS-CT-AI02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PLTC|1 pr|16</t>
        </is>
      </c>
      <c r="L3365" s="12" t="inlineStr">
        <is>
          <t>1 pr</t>
        </is>
      </c>
      <c r="M3365" s="12" t="inlineStr">
        <is>
          <t>16</t>
        </is>
      </c>
      <c r="N3365" s="12" t="n">
        <v>10</v>
      </c>
      <c r="O3365" s="12" t="n">
        <v>1</v>
      </c>
      <c r="P3365" s="12" t="n"/>
      <c r="Q3365" s="12" t="n"/>
      <c r="R3365" s="12" t="n"/>
      <c r="S3365" s="12" t="inlineStr">
        <is>
          <t>Tray / conduit</t>
        </is>
      </c>
      <c r="T3365" s="15" t="n">
        <v>250</v>
      </c>
      <c r="U3365" s="15" t="n">
        <v>10</v>
      </c>
      <c r="V3365" s="15">
        <f>ROUNDUP((T3365+U3365+2*'Read Me'!$B$13)*(1+'Read Me'!$B$12),-1)</f>
        <v/>
      </c>
      <c r="W3365" s="15">
        <f>V3365*N3365*O3365</f>
        <v/>
      </c>
      <c r="X3365" s="12">
        <f>IF(LEFT(I3365,2)="MV",2*N3365*IF(L3365="1/C",O3365,1),0)</f>
        <v/>
      </c>
      <c r="Y3365" s="12">
        <f>IF(OR(LEFT(K3365,4)="LVAX",LEFT(K3365,6)="MV15AX",LEFT(K3365,4)="CTAX",LEFT(K3365,2)="W|"),2*N3365*O3365,0)</f>
        <v/>
      </c>
      <c r="Z3365" s="12" t="inlineStr">
        <is>
          <t>device-to-JB field wiring, one cable per device</t>
        </is>
      </c>
      <c r="AA3365" s="12">
        <f>N3365*O3365</f>
        <v/>
      </c>
    </row>
    <row r="3366">
      <c r="A3366" s="12" t="inlineStr">
        <is>
          <t>G-I-0092</t>
        </is>
      </c>
      <c r="B3366" s="12" t="inlineStr">
        <is>
          <t>G</t>
        </is>
      </c>
      <c r="C3366" s="12" t="inlineStr">
        <is>
          <t>Carbon capture</t>
        </is>
      </c>
      <c r="D3366" s="12" t="inlineStr">
        <is>
          <t>Home run JB-CCS-CT-AI02 to the control / marshalling room</t>
        </is>
      </c>
      <c r="E3366" s="12" t="inlineStr"/>
      <c r="F3366" s="12" t="inlineStr">
        <is>
          <t>CCS F&amp;G / control</t>
        </is>
      </c>
      <c r="G3366" s="12" t="inlineStr">
        <is>
          <t>JB-CCS-CT-AI02</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PLTC|24 pr|18</t>
        </is>
      </c>
      <c r="L3366" s="12" t="inlineStr">
        <is>
          <t>24 pr</t>
        </is>
      </c>
      <c r="M3366" s="12" t="inlineStr">
        <is>
          <t>18</t>
        </is>
      </c>
      <c r="N3366" s="12" t="n">
        <v>1</v>
      </c>
      <c r="O3366" s="12" t="n">
        <v>1</v>
      </c>
      <c r="P3366" s="12" t="n"/>
      <c r="Q3366" s="12" t="n"/>
      <c r="R3366" s="12" t="n"/>
      <c r="S3366" s="12" t="inlineStr">
        <is>
          <t>Duct bank</t>
        </is>
      </c>
      <c r="T3366" s="15" t="n">
        <v>911</v>
      </c>
      <c r="U3366" s="15" t="n">
        <v>111</v>
      </c>
      <c r="V3366" s="15">
        <f>ROUNDUP((T3366+U3366+2*'Read Me'!$B$13)*(1+'Read Me'!$B$12),-1)</f>
        <v/>
      </c>
      <c r="W3366" s="15">
        <f>V3366*N3366*O3366</f>
        <v/>
      </c>
      <c r="X3366" s="12">
        <f>IF(LEFT(I3366,2)="MV",2*N3366*IF(L3366="1/C",O3366,1),0)</f>
        <v/>
      </c>
      <c r="Y3366" s="12">
        <f>IF(OR(LEFT(K3366,4)="LVAX",LEFT(K3366,6)="MV15AX",LEFT(K3366,4)="CTAX",LEFT(K3366,2)="W|"),2*N3366*O3366,0)</f>
        <v/>
      </c>
      <c r="Z3366" s="12" t="inlineStr"/>
      <c r="AA3366" s="12">
        <f>N3366*O3366</f>
        <v/>
      </c>
    </row>
    <row r="3367">
      <c r="A3367" s="12" t="inlineStr">
        <is>
          <t>G-I-0093</t>
        </is>
      </c>
      <c r="B3367" s="12" t="inlineStr">
        <is>
          <t>G</t>
        </is>
      </c>
      <c r="C3367" s="12" t="inlineStr">
        <is>
          <t>Carbon capture</t>
        </is>
      </c>
      <c r="D3367" s="12" t="inlineStr">
        <is>
          <t>Discrete device to JB JB-CCS-CT-DI01: 20 x 1 pr (field cables)</t>
        </is>
      </c>
      <c r="E3367" s="12" t="inlineStr">
        <is>
          <t>CCS-CT</t>
        </is>
      </c>
      <c r="F3367" s="12" t="inlineStr">
        <is>
          <t>CCS cooling tower (~30 cells): CCS process cooling only</t>
        </is>
      </c>
      <c r="G3367" s="12" t="inlineStr">
        <is>
          <t>JB-CCS-CT-DI01</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PLTC|1 pr|16</t>
        </is>
      </c>
      <c r="L3367" s="12" t="inlineStr">
        <is>
          <t>1 pr</t>
        </is>
      </c>
      <c r="M3367" s="12" t="inlineStr">
        <is>
          <t>16</t>
        </is>
      </c>
      <c r="N3367" s="12" t="n">
        <v>20</v>
      </c>
      <c r="O3367" s="12" t="n">
        <v>1</v>
      </c>
      <c r="P3367" s="12" t="n"/>
      <c r="Q3367" s="12" t="n"/>
      <c r="R3367" s="12" t="n"/>
      <c r="S3367" s="12" t="inlineStr">
        <is>
          <t>Tray / conduit</t>
        </is>
      </c>
      <c r="T3367" s="15" t="n">
        <v>250</v>
      </c>
      <c r="U3367" s="15" t="n">
        <v>10</v>
      </c>
      <c r="V3367" s="15">
        <f>ROUNDUP((T3367+U3367+2*'Read Me'!$B$13)*(1+'Read Me'!$B$12),-1)</f>
        <v/>
      </c>
      <c r="W3367" s="15">
        <f>V3367*N3367*O3367</f>
        <v/>
      </c>
      <c r="X3367" s="12">
        <f>IF(LEFT(I3367,2)="MV",2*N3367*IF(L3367="1/C",O3367,1),0)</f>
        <v/>
      </c>
      <c r="Y3367" s="12">
        <f>IF(OR(LEFT(K3367,4)="LVAX",LEFT(K3367,6)="MV15AX",LEFT(K3367,4)="CTAX",LEFT(K3367,2)="W|"),2*N3367*O3367,0)</f>
        <v/>
      </c>
      <c r="Z3367" s="12" t="inlineStr">
        <is>
          <t>device-to-JB field wiring, one cable per device</t>
        </is>
      </c>
      <c r="AA3367" s="12">
        <f>N3367*O3367</f>
        <v/>
      </c>
    </row>
    <row r="3368">
      <c r="A3368" s="12" t="inlineStr">
        <is>
          <t>G-I-0094</t>
        </is>
      </c>
      <c r="B3368" s="12" t="inlineStr">
        <is>
          <t>G</t>
        </is>
      </c>
      <c r="C3368" s="12" t="inlineStr">
        <is>
          <t>Carbon capture</t>
        </is>
      </c>
      <c r="D3368" s="12" t="inlineStr">
        <is>
          <t>Home run JB-CCS-CT-DI01 to the control / marshalling room</t>
        </is>
      </c>
      <c r="E3368" s="12" t="inlineStr"/>
      <c r="F3368" s="12" t="inlineStr">
        <is>
          <t>CCS F&amp;G / control</t>
        </is>
      </c>
      <c r="G3368" s="12" t="inlineStr">
        <is>
          <t>JB-CCS-CT-DI01</t>
        </is>
      </c>
      <c r="H3368" s="12" t="inlineStr">
        <is>
          <t>CCS cooling tower (~30 cells): CCS process cooling only</t>
        </is>
      </c>
      <c r="I3368" s="12" t="inlineStr">
        <is>
          <t>Instrumentation</t>
        </is>
      </c>
      <c r="J3368" s="12" t="inlineStr">
        <is>
          <t>Instrumentation PLTC / TC-ER 300 V, #18 twisted shielded pairs, overall shield</t>
        </is>
      </c>
      <c r="K3368" s="12" t="inlineStr">
        <is>
          <t>PLTC|24 pr|18</t>
        </is>
      </c>
      <c r="L3368" s="12" t="inlineStr">
        <is>
          <t>24 pr</t>
        </is>
      </c>
      <c r="M3368" s="12" t="inlineStr">
        <is>
          <t>18</t>
        </is>
      </c>
      <c r="N3368" s="12" t="n">
        <v>1</v>
      </c>
      <c r="O3368" s="12" t="n">
        <v>1</v>
      </c>
      <c r="P3368" s="12" t="n"/>
      <c r="Q3368" s="12" t="n"/>
      <c r="R3368" s="12" t="n"/>
      <c r="S3368" s="12" t="inlineStr">
        <is>
          <t>Duct bank</t>
        </is>
      </c>
      <c r="T3368" s="15" t="n">
        <v>911</v>
      </c>
      <c r="U3368" s="15" t="n">
        <v>111</v>
      </c>
      <c r="V3368" s="15">
        <f>ROUNDUP((T3368+U3368+2*'Read Me'!$B$13)*(1+'Read Me'!$B$12),-1)</f>
        <v/>
      </c>
      <c r="W3368" s="15">
        <f>V3368*N3368*O3368</f>
        <v/>
      </c>
      <c r="X3368" s="12">
        <f>IF(LEFT(I3368,2)="MV",2*N3368*IF(L3368="1/C",O3368,1),0)</f>
        <v/>
      </c>
      <c r="Y3368" s="12">
        <f>IF(OR(LEFT(K3368,4)="LVAX",LEFT(K3368,6)="MV15AX",LEFT(K3368,4)="CTAX",LEFT(K3368,2)="W|"),2*N3368*O3368,0)</f>
        <v/>
      </c>
      <c r="Z3368" s="12" t="inlineStr"/>
      <c r="AA3368" s="12">
        <f>N3368*O3368</f>
        <v/>
      </c>
    </row>
    <row r="3369">
      <c r="A3369" s="12" t="inlineStr">
        <is>
          <t>G-I-0095</t>
        </is>
      </c>
      <c r="B3369" s="12" t="inlineStr">
        <is>
          <t>G</t>
        </is>
      </c>
      <c r="C3369" s="12" t="inlineStr">
        <is>
          <t>Carbon capture</t>
        </is>
      </c>
      <c r="D3369" s="12" t="inlineStr">
        <is>
          <t>Discrete device to JB JB-CCS-CT-DI02: 20 x 1 pr (field cables)</t>
        </is>
      </c>
      <c r="E3369" s="12" t="inlineStr">
        <is>
          <t>CCS-CT</t>
        </is>
      </c>
      <c r="F3369" s="12" t="inlineStr">
        <is>
          <t>CCS cooling tower (~30 cells): CCS process cooling only</t>
        </is>
      </c>
      <c r="G3369" s="12" t="inlineStr">
        <is>
          <t>JB-CCS-CT-DI02</t>
        </is>
      </c>
      <c r="H3369" s="12" t="inlineStr">
        <is>
          <t>CCS cooling tower (~30 cells): CCS process cooling only</t>
        </is>
      </c>
      <c r="I3369" s="12" t="inlineStr">
        <is>
          <t>Instrumentation</t>
        </is>
      </c>
      <c r="J3369" s="12" t="inlineStr">
        <is>
          <t>Instrumentation PLTC / TC-ER 300 V, #18 twisted shielded pairs, overall shield</t>
        </is>
      </c>
      <c r="K3369" s="12" t="inlineStr">
        <is>
          <t>PLTC|1 pr|16</t>
        </is>
      </c>
      <c r="L3369" s="12" t="inlineStr">
        <is>
          <t>1 pr</t>
        </is>
      </c>
      <c r="M3369" s="12" t="inlineStr">
        <is>
          <t>16</t>
        </is>
      </c>
      <c r="N3369" s="12" t="n">
        <v>20</v>
      </c>
      <c r="O3369" s="12" t="n">
        <v>1</v>
      </c>
      <c r="P3369" s="12" t="n"/>
      <c r="Q3369" s="12" t="n"/>
      <c r="R3369" s="12" t="n"/>
      <c r="S3369" s="12" t="inlineStr">
        <is>
          <t>Tray / conduit</t>
        </is>
      </c>
      <c r="T3369" s="15" t="n">
        <v>250</v>
      </c>
      <c r="U3369" s="15" t="n">
        <v>10</v>
      </c>
      <c r="V3369" s="15">
        <f>ROUNDUP((T3369+U3369+2*'Read Me'!$B$13)*(1+'Read Me'!$B$12),-1)</f>
        <v/>
      </c>
      <c r="W3369" s="15">
        <f>V3369*N3369*O3369</f>
        <v/>
      </c>
      <c r="X3369" s="12">
        <f>IF(LEFT(I3369,2)="MV",2*N3369*IF(L3369="1/C",O3369,1),0)</f>
        <v/>
      </c>
      <c r="Y3369" s="12">
        <f>IF(OR(LEFT(K3369,4)="LVAX",LEFT(K3369,6)="MV15AX",LEFT(K3369,4)="CTAX",LEFT(K3369,2)="W|"),2*N3369*O3369,0)</f>
        <v/>
      </c>
      <c r="Z3369" s="12" t="inlineStr">
        <is>
          <t>device-to-JB field wiring, one cable per device</t>
        </is>
      </c>
      <c r="AA3369" s="12">
        <f>N3369*O3369</f>
        <v/>
      </c>
    </row>
    <row r="3370">
      <c r="A3370" s="12" t="inlineStr">
        <is>
          <t>G-I-0096</t>
        </is>
      </c>
      <c r="B3370" s="12" t="inlineStr">
        <is>
          <t>G</t>
        </is>
      </c>
      <c r="C3370" s="12" t="inlineStr">
        <is>
          <t>Carbon capture</t>
        </is>
      </c>
      <c r="D3370" s="12" t="inlineStr">
        <is>
          <t>Home run JB-CCS-CT-DI02 to the control / marshalling room</t>
        </is>
      </c>
      <c r="E3370" s="12" t="inlineStr"/>
      <c r="F3370" s="12" t="inlineStr">
        <is>
          <t>CCS F&amp;G / control</t>
        </is>
      </c>
      <c r="G3370" s="12" t="inlineStr">
        <is>
          <t>JB-CCS-CT-DI02</t>
        </is>
      </c>
      <c r="H3370" s="12" t="inlineStr">
        <is>
          <t>CCS cooling tower (~30 cells): CCS process cooling only</t>
        </is>
      </c>
      <c r="I3370" s="12" t="inlineStr">
        <is>
          <t>Instrumentation</t>
        </is>
      </c>
      <c r="J3370" s="12" t="inlineStr">
        <is>
          <t>Instrumentation PLTC / TC-ER 300 V, #18 twisted shielded pairs, overall shield</t>
        </is>
      </c>
      <c r="K3370" s="12" t="inlineStr">
        <is>
          <t>PLTC|24 pr|18</t>
        </is>
      </c>
      <c r="L3370" s="12" t="inlineStr">
        <is>
          <t>24 pr</t>
        </is>
      </c>
      <c r="M3370" s="12" t="inlineStr">
        <is>
          <t>18</t>
        </is>
      </c>
      <c r="N3370" s="12" t="n">
        <v>1</v>
      </c>
      <c r="O3370" s="12" t="n">
        <v>1</v>
      </c>
      <c r="P3370" s="12" t="n"/>
      <c r="Q3370" s="12" t="n"/>
      <c r="R3370" s="12" t="n"/>
      <c r="S3370" s="12" t="inlineStr">
        <is>
          <t>Duct bank</t>
        </is>
      </c>
      <c r="T3370" s="15" t="n">
        <v>911</v>
      </c>
      <c r="U3370" s="15" t="n">
        <v>111</v>
      </c>
      <c r="V3370" s="15">
        <f>ROUNDUP((T3370+U3370+2*'Read Me'!$B$13)*(1+'Read Me'!$B$12),-1)</f>
        <v/>
      </c>
      <c r="W3370" s="15">
        <f>V3370*N3370*O3370</f>
        <v/>
      </c>
      <c r="X3370" s="12">
        <f>IF(LEFT(I3370,2)="MV",2*N3370*IF(L3370="1/C",O3370,1),0)</f>
        <v/>
      </c>
      <c r="Y3370" s="12">
        <f>IF(OR(LEFT(K3370,4)="LVAX",LEFT(K3370,6)="MV15AX",LEFT(K3370,4)="CTAX",LEFT(K3370,2)="W|"),2*N3370*O3370,0)</f>
        <v/>
      </c>
      <c r="Z3370" s="12" t="inlineStr"/>
      <c r="AA3370" s="12">
        <f>N3370*O3370</f>
        <v/>
      </c>
    </row>
    <row r="3371">
      <c r="A3371" s="12" t="inlineStr">
        <is>
          <t>G-I-0097</t>
        </is>
      </c>
      <c r="B3371" s="12" t="inlineStr">
        <is>
          <t>G</t>
        </is>
      </c>
      <c r="C3371" s="12" t="inlineStr">
        <is>
          <t>Carbon capture</t>
        </is>
      </c>
      <c r="D3371" s="12" t="inlineStr">
        <is>
          <t>Discrete device to JB JB-CCS-CT-DI03: 20 x 1 pr (field cables)</t>
        </is>
      </c>
      <c r="E3371" s="12" t="inlineStr">
        <is>
          <t>CCS-CT</t>
        </is>
      </c>
      <c r="F3371" s="12" t="inlineStr">
        <is>
          <t>CCS cooling tower (~30 cells): CCS process cooling only</t>
        </is>
      </c>
      <c r="G3371" s="12" t="inlineStr">
        <is>
          <t>JB-CCS-CT-DI03</t>
        </is>
      </c>
      <c r="H3371" s="12" t="inlineStr">
        <is>
          <t>CCS cooling tower (~30 cells): CCS process cooling only</t>
        </is>
      </c>
      <c r="I3371" s="12" t="inlineStr">
        <is>
          <t>Instrumentation</t>
        </is>
      </c>
      <c r="J3371" s="12" t="inlineStr">
        <is>
          <t>Instrumentation PLTC / TC-ER 300 V, #18 twisted shielded pairs, overall shield</t>
        </is>
      </c>
      <c r="K3371" s="12" t="inlineStr">
        <is>
          <t>PLTC|1 pr|16</t>
        </is>
      </c>
      <c r="L3371" s="12" t="inlineStr">
        <is>
          <t>1 pr</t>
        </is>
      </c>
      <c r="M3371" s="12" t="inlineStr">
        <is>
          <t>16</t>
        </is>
      </c>
      <c r="N3371" s="12" t="n">
        <v>20</v>
      </c>
      <c r="O3371" s="12" t="n">
        <v>1</v>
      </c>
      <c r="P3371" s="12" t="n"/>
      <c r="Q3371" s="12" t="n"/>
      <c r="R3371" s="12" t="n"/>
      <c r="S3371" s="12" t="inlineStr">
        <is>
          <t>Tray / conduit</t>
        </is>
      </c>
      <c r="T3371" s="15" t="n">
        <v>250</v>
      </c>
      <c r="U3371" s="15" t="n">
        <v>10</v>
      </c>
      <c r="V3371" s="15">
        <f>ROUNDUP((T3371+U3371+2*'Read Me'!$B$13)*(1+'Read Me'!$B$12),-1)</f>
        <v/>
      </c>
      <c r="W3371" s="15">
        <f>V3371*N3371*O3371</f>
        <v/>
      </c>
      <c r="X3371" s="12">
        <f>IF(LEFT(I3371,2)="MV",2*N3371*IF(L3371="1/C",O3371,1),0)</f>
        <v/>
      </c>
      <c r="Y3371" s="12">
        <f>IF(OR(LEFT(K3371,4)="LVAX",LEFT(K3371,6)="MV15AX",LEFT(K3371,4)="CTAX",LEFT(K3371,2)="W|"),2*N3371*O3371,0)</f>
        <v/>
      </c>
      <c r="Z3371" s="12" t="inlineStr">
        <is>
          <t>device-to-JB field wiring, one cable per device</t>
        </is>
      </c>
      <c r="AA3371" s="12">
        <f>N3371*O3371</f>
        <v/>
      </c>
    </row>
    <row r="3372">
      <c r="A3372" s="12" t="inlineStr">
        <is>
          <t>G-I-0098</t>
        </is>
      </c>
      <c r="B3372" s="12" t="inlineStr">
        <is>
          <t>G</t>
        </is>
      </c>
      <c r="C3372" s="12" t="inlineStr">
        <is>
          <t>Carbon capture</t>
        </is>
      </c>
      <c r="D3372" s="12" t="inlineStr">
        <is>
          <t>Home run JB-CCS-CT-DI03 to the control / marshalling room</t>
        </is>
      </c>
      <c r="E3372" s="12" t="inlineStr"/>
      <c r="F3372" s="12" t="inlineStr">
        <is>
          <t>CCS F&amp;G / control</t>
        </is>
      </c>
      <c r="G3372" s="12" t="inlineStr">
        <is>
          <t>JB-CCS-CT-DI03</t>
        </is>
      </c>
      <c r="H3372" s="12" t="inlineStr">
        <is>
          <t>CCS cooling tower (~30 cells): CCS process cooling only</t>
        </is>
      </c>
      <c r="I3372" s="12" t="inlineStr">
        <is>
          <t>Instrumentation</t>
        </is>
      </c>
      <c r="J3372" s="12" t="inlineStr">
        <is>
          <t>Instrumentation PLTC / TC-ER 300 V, #18 twisted shielded pairs, overall shield</t>
        </is>
      </c>
      <c r="K3372" s="12" t="inlineStr">
        <is>
          <t>PLTC|24 pr|18</t>
        </is>
      </c>
      <c r="L3372" s="12" t="inlineStr">
        <is>
          <t>24 pr</t>
        </is>
      </c>
      <c r="M3372" s="12" t="inlineStr">
        <is>
          <t>18</t>
        </is>
      </c>
      <c r="N3372" s="12" t="n">
        <v>1</v>
      </c>
      <c r="O3372" s="12" t="n">
        <v>1</v>
      </c>
      <c r="P3372" s="12" t="n"/>
      <c r="Q3372" s="12" t="n"/>
      <c r="R3372" s="12" t="n"/>
      <c r="S3372" s="12" t="inlineStr">
        <is>
          <t>Duct bank</t>
        </is>
      </c>
      <c r="T3372" s="15" t="n">
        <v>911</v>
      </c>
      <c r="U3372" s="15" t="n">
        <v>111</v>
      </c>
      <c r="V3372" s="15">
        <f>ROUNDUP((T3372+U3372+2*'Read Me'!$B$13)*(1+'Read Me'!$B$12),-1)</f>
        <v/>
      </c>
      <c r="W3372" s="15">
        <f>V3372*N3372*O3372</f>
        <v/>
      </c>
      <c r="X3372" s="12">
        <f>IF(LEFT(I3372,2)="MV",2*N3372*IF(L3372="1/C",O3372,1),0)</f>
        <v/>
      </c>
      <c r="Y3372" s="12">
        <f>IF(OR(LEFT(K3372,4)="LVAX",LEFT(K3372,6)="MV15AX",LEFT(K3372,4)="CTAX",LEFT(K3372,2)="W|"),2*N3372*O3372,0)</f>
        <v/>
      </c>
      <c r="Z3372" s="12" t="inlineStr"/>
      <c r="AA3372" s="12">
        <f>N3372*O3372</f>
        <v/>
      </c>
    </row>
    <row r="3373">
      <c r="A3373" s="12" t="inlineStr">
        <is>
          <t>G-I-0099</t>
        </is>
      </c>
      <c r="B3373" s="12" t="inlineStr">
        <is>
          <t>G</t>
        </is>
      </c>
      <c r="C3373" s="12" t="inlineStr">
        <is>
          <t>Carbon capture</t>
        </is>
      </c>
      <c r="D3373" s="12" t="inlineStr">
        <is>
          <t>Analog instrument to JB JB-CCS instrument air-AI01: 10 x 1 pr (field cables)</t>
        </is>
      </c>
      <c r="E3373" s="12" t="inlineStr"/>
      <c r="F3373" s="12" t="inlineStr">
        <is>
          <t>CCS instrument air</t>
        </is>
      </c>
      <c r="G3373" s="12" t="inlineStr">
        <is>
          <t>JB-CCS instrument air-AI01</t>
        </is>
      </c>
      <c r="H3373" s="12" t="inlineStr">
        <is>
          <t>CCS instrument air</t>
        </is>
      </c>
      <c r="I3373" s="12" t="inlineStr">
        <is>
          <t>Instrumentation</t>
        </is>
      </c>
      <c r="J3373" s="12" t="inlineStr">
        <is>
          <t>Instrumentation PLTC / TC-ER 300 V, #18 twisted shielded pairs, overall shield</t>
        </is>
      </c>
      <c r="K3373" s="12" t="inlineStr">
        <is>
          <t>PLTC|1 pr|16</t>
        </is>
      </c>
      <c r="L3373" s="12" t="inlineStr">
        <is>
          <t>1 pr</t>
        </is>
      </c>
      <c r="M3373" s="12" t="inlineStr">
        <is>
          <t>16</t>
        </is>
      </c>
      <c r="N3373" s="12" t="n">
        <v>10</v>
      </c>
      <c r="O3373" s="12" t="n">
        <v>1</v>
      </c>
      <c r="P3373" s="12" t="n"/>
      <c r="Q3373" s="12" t="n"/>
      <c r="R3373" s="12" t="n"/>
      <c r="S3373" s="12" t="inlineStr">
        <is>
          <t>Tray / conduit</t>
        </is>
      </c>
      <c r="T3373" s="15" t="n">
        <v>72</v>
      </c>
      <c r="U3373" s="15" t="n">
        <v>10</v>
      </c>
      <c r="V3373" s="15">
        <f>ROUNDUP((T3373+U3373+2*'Read Me'!$B$13)*(1+'Read Me'!$B$12),-1)</f>
        <v/>
      </c>
      <c r="W3373" s="15">
        <f>V3373*N3373*O3373</f>
        <v/>
      </c>
      <c r="X3373" s="12">
        <f>IF(LEFT(I3373,2)="MV",2*N3373*IF(L3373="1/C",O3373,1),0)</f>
        <v/>
      </c>
      <c r="Y3373" s="12">
        <f>IF(OR(LEFT(K3373,4)="LVAX",LEFT(K3373,6)="MV15AX",LEFT(K3373,4)="CTAX",LEFT(K3373,2)="W|"),2*N3373*O3373,0)</f>
        <v/>
      </c>
      <c r="Z3373" s="12" t="inlineStr">
        <is>
          <t>device-to-JB field wiring, one cable per device</t>
        </is>
      </c>
      <c r="AA3373" s="12">
        <f>N3373*O3373</f>
        <v/>
      </c>
    </row>
    <row r="3374">
      <c r="A3374" s="12" t="inlineStr">
        <is>
          <t>G-I-0100</t>
        </is>
      </c>
      <c r="B3374" s="12" t="inlineStr">
        <is>
          <t>G</t>
        </is>
      </c>
      <c r="C3374" s="12" t="inlineStr">
        <is>
          <t>Carbon capture</t>
        </is>
      </c>
      <c r="D3374" s="12" t="inlineStr">
        <is>
          <t>Home run JB-CCS instrument air-AI01 to the control / marshalling room</t>
        </is>
      </c>
      <c r="E3374" s="12" t="inlineStr"/>
      <c r="F3374" s="12" t="inlineStr">
        <is>
          <t>CCS F&amp;G / control</t>
        </is>
      </c>
      <c r="G3374" s="12" t="inlineStr">
        <is>
          <t>JB-CCS instrument air-AI01</t>
        </is>
      </c>
      <c r="H3374" s="12" t="inlineStr">
        <is>
          <t>CCS instrument air</t>
        </is>
      </c>
      <c r="I3374" s="12" t="inlineStr">
        <is>
          <t>Instrumentation</t>
        </is>
      </c>
      <c r="J3374" s="12" t="inlineStr">
        <is>
          <t>Instrumentation PLTC / TC-ER 300 V, #18 twisted shielded pairs, overall shield</t>
        </is>
      </c>
      <c r="K3374" s="12" t="inlineStr">
        <is>
          <t>PLTC|24 pr|18</t>
        </is>
      </c>
      <c r="L3374" s="12" t="inlineStr">
        <is>
          <t>24 pr</t>
        </is>
      </c>
      <c r="M3374" s="12" t="inlineStr">
        <is>
          <t>18</t>
        </is>
      </c>
      <c r="N3374" s="12" t="n">
        <v>1</v>
      </c>
      <c r="O3374" s="12" t="n">
        <v>1</v>
      </c>
      <c r="P3374" s="12" t="n"/>
      <c r="Q3374" s="12" t="n"/>
      <c r="R3374" s="12" t="n"/>
      <c r="S3374" s="12" t="inlineStr">
        <is>
          <t>Tray</t>
        </is>
      </c>
      <c r="T3374" s="15" t="n">
        <v>0</v>
      </c>
      <c r="U3374" s="15" t="n">
        <v>120</v>
      </c>
      <c r="V3374" s="15">
        <f>ROUNDUP((T3374+U3374+2*'Read Me'!$B$13)*(1+'Read Me'!$B$12),-1)</f>
        <v/>
      </c>
      <c r="W3374" s="15">
        <f>V3374*N3374*O3374</f>
        <v/>
      </c>
      <c r="X3374" s="12">
        <f>IF(LEFT(I3374,2)="MV",2*N3374*IF(L3374="1/C",O3374,1),0)</f>
        <v/>
      </c>
      <c r="Y3374" s="12">
        <f>IF(OR(LEFT(K3374,4)="LVAX",LEFT(K3374,6)="MV15AX",LEFT(K3374,4)="CTAX",LEFT(K3374,2)="W|"),2*N3374*O3374,0)</f>
        <v/>
      </c>
      <c r="Z3374" s="12" t="inlineStr"/>
      <c r="AA3374" s="12">
        <f>N3374*O3374</f>
        <v/>
      </c>
    </row>
    <row r="3375">
      <c r="A3375" s="12" t="inlineStr">
        <is>
          <t>G-I-0101</t>
        </is>
      </c>
      <c r="B3375" s="12" t="inlineStr">
        <is>
          <t>G</t>
        </is>
      </c>
      <c r="C3375" s="12" t="inlineStr">
        <is>
          <t>Carbon capture</t>
        </is>
      </c>
      <c r="D3375" s="12" t="inlineStr">
        <is>
          <t>Discrete device to JB JB-CCS instrument air-DI01: 10 x 1 pr (field cables)</t>
        </is>
      </c>
      <c r="E3375" s="12" t="inlineStr"/>
      <c r="F3375" s="12" t="inlineStr">
        <is>
          <t>CCS instrument air</t>
        </is>
      </c>
      <c r="G3375" s="12" t="inlineStr">
        <is>
          <t>JB-CCS instrument air-DI01</t>
        </is>
      </c>
      <c r="H3375" s="12" t="inlineStr">
        <is>
          <t>CCS instrument air</t>
        </is>
      </c>
      <c r="I3375" s="12" t="inlineStr">
        <is>
          <t>Instrumentation</t>
        </is>
      </c>
      <c r="J3375" s="12" t="inlineStr">
        <is>
          <t>Instrumentation PLTC / TC-ER 300 V, #18 twisted shielded pairs, overall shield</t>
        </is>
      </c>
      <c r="K3375" s="12" t="inlineStr">
        <is>
          <t>PLTC|1 pr|16</t>
        </is>
      </c>
      <c r="L3375" s="12" t="inlineStr">
        <is>
          <t>1 pr</t>
        </is>
      </c>
      <c r="M3375" s="12" t="inlineStr">
        <is>
          <t>16</t>
        </is>
      </c>
      <c r="N3375" s="12" t="n">
        <v>10</v>
      </c>
      <c r="O3375" s="12" t="n">
        <v>1</v>
      </c>
      <c r="P3375" s="12" t="n"/>
      <c r="Q3375" s="12" t="n"/>
      <c r="R3375" s="12" t="n"/>
      <c r="S3375" s="12" t="inlineStr">
        <is>
          <t>Tray / conduit</t>
        </is>
      </c>
      <c r="T3375" s="15" t="n">
        <v>72</v>
      </c>
      <c r="U3375" s="15" t="n">
        <v>10</v>
      </c>
      <c r="V3375" s="15">
        <f>ROUNDUP((T3375+U3375+2*'Read Me'!$B$13)*(1+'Read Me'!$B$12),-1)</f>
        <v/>
      </c>
      <c r="W3375" s="15">
        <f>V3375*N3375*O3375</f>
        <v/>
      </c>
      <c r="X3375" s="12">
        <f>IF(LEFT(I3375,2)="MV",2*N3375*IF(L3375="1/C",O3375,1),0)</f>
        <v/>
      </c>
      <c r="Y3375" s="12">
        <f>IF(OR(LEFT(K3375,4)="LVAX",LEFT(K3375,6)="MV15AX",LEFT(K3375,4)="CTAX",LEFT(K3375,2)="W|"),2*N3375*O3375,0)</f>
        <v/>
      </c>
      <c r="Z3375" s="12" t="inlineStr">
        <is>
          <t>device-to-JB field wiring, one cable per device</t>
        </is>
      </c>
      <c r="AA3375" s="12">
        <f>N3375*O3375</f>
        <v/>
      </c>
    </row>
    <row r="3376">
      <c r="A3376" s="12" t="inlineStr">
        <is>
          <t>G-I-0102</t>
        </is>
      </c>
      <c r="B3376" s="12" t="inlineStr">
        <is>
          <t>G</t>
        </is>
      </c>
      <c r="C3376" s="12" t="inlineStr">
        <is>
          <t>Carbon capture</t>
        </is>
      </c>
      <c r="D3376" s="12" t="inlineStr">
        <is>
          <t>Home run JB-CCS instrument air-DI01 to the control / marshalling room</t>
        </is>
      </c>
      <c r="E3376" s="12" t="inlineStr"/>
      <c r="F3376" s="12" t="inlineStr">
        <is>
          <t>CCS F&amp;G / control</t>
        </is>
      </c>
      <c r="G3376" s="12" t="inlineStr">
        <is>
          <t>JB-CCS instrument air-DI01</t>
        </is>
      </c>
      <c r="H3376" s="12" t="inlineStr">
        <is>
          <t>CCS instrument air</t>
        </is>
      </c>
      <c r="I3376" s="12" t="inlineStr">
        <is>
          <t>Instrumentation</t>
        </is>
      </c>
      <c r="J3376" s="12" t="inlineStr">
        <is>
          <t>Instrumentation PLTC / TC-ER 300 V, #18 twisted shielded pairs, overall shield</t>
        </is>
      </c>
      <c r="K3376" s="12" t="inlineStr">
        <is>
          <t>PLTC|24 pr|18</t>
        </is>
      </c>
      <c r="L3376" s="12" t="inlineStr">
        <is>
          <t>24 pr</t>
        </is>
      </c>
      <c r="M3376" s="12" t="inlineStr">
        <is>
          <t>18</t>
        </is>
      </c>
      <c r="N3376" s="12" t="n">
        <v>1</v>
      </c>
      <c r="O3376" s="12" t="n">
        <v>1</v>
      </c>
      <c r="P3376" s="12" t="n"/>
      <c r="Q3376" s="12" t="n"/>
      <c r="R3376" s="12" t="n"/>
      <c r="S3376" s="12" t="inlineStr">
        <is>
          <t>Tray</t>
        </is>
      </c>
      <c r="T3376" s="15" t="n">
        <v>0</v>
      </c>
      <c r="U3376" s="15" t="n">
        <v>120</v>
      </c>
      <c r="V3376" s="15">
        <f>ROUNDUP((T3376+U3376+2*'Read Me'!$B$13)*(1+'Read Me'!$B$12),-1)</f>
        <v/>
      </c>
      <c r="W3376" s="15">
        <f>V3376*N3376*O3376</f>
        <v/>
      </c>
      <c r="X3376" s="12">
        <f>IF(LEFT(I3376,2)="MV",2*N3376*IF(L3376="1/C",O3376,1),0)</f>
        <v/>
      </c>
      <c r="Y3376" s="12">
        <f>IF(OR(LEFT(K3376,4)="LVAX",LEFT(K3376,6)="MV15AX",LEFT(K3376,4)="CTAX",LEFT(K3376,2)="W|"),2*N3376*O3376,0)</f>
        <v/>
      </c>
      <c r="Z3376" s="12" t="inlineStr"/>
      <c r="AA3376" s="12">
        <f>N3376*O3376</f>
        <v/>
      </c>
    </row>
    <row r="3377">
      <c r="A3377" s="12" t="inlineStr">
        <is>
          <t>G-I-0103</t>
        </is>
      </c>
      <c r="B3377" s="12" t="inlineStr">
        <is>
          <t>G</t>
        </is>
      </c>
      <c r="C3377" s="12" t="inlineStr">
        <is>
          <t>Carbon capture</t>
        </is>
      </c>
      <c r="D3377" s="12" t="inlineStr">
        <is>
          <t>Analog instrument to JB JB-CCS wastewater (DC-AI01: 15 x 1 pr (field cables)</t>
        </is>
      </c>
      <c r="E3377" s="12" t="inlineStr"/>
      <c r="F3377" s="12" t="inlineStr">
        <is>
          <t>CCS wastewater (DCC + tower blowdown)</t>
        </is>
      </c>
      <c r="G3377" s="12" t="inlineStr">
        <is>
          <t>JB-CCS wastewater (DC-AI01</t>
        </is>
      </c>
      <c r="H3377" s="12" t="inlineStr">
        <is>
          <t>CCS wastewater (DCC + tower blowdown)</t>
        </is>
      </c>
      <c r="I3377" s="12" t="inlineStr">
        <is>
          <t>Instrumentation</t>
        </is>
      </c>
      <c r="J3377" s="12" t="inlineStr">
        <is>
          <t>Instrumentation PLTC / TC-ER 300 V, #18 twisted shielded pairs, overall shield</t>
        </is>
      </c>
      <c r="K3377" s="12" t="inlineStr">
        <is>
          <t>PLTC|1 pr|16</t>
        </is>
      </c>
      <c r="L3377" s="12" t="inlineStr">
        <is>
          <t>1 pr</t>
        </is>
      </c>
      <c r="M3377" s="12" t="inlineStr">
        <is>
          <t>16</t>
        </is>
      </c>
      <c r="N3377" s="12" t="n">
        <v>15</v>
      </c>
      <c r="O3377" s="12" t="n">
        <v>1</v>
      </c>
      <c r="P3377" s="12" t="n"/>
      <c r="Q3377" s="12" t="n"/>
      <c r="R3377" s="12" t="n"/>
      <c r="S3377" s="12" t="inlineStr">
        <is>
          <t>Tray / conduit</t>
        </is>
      </c>
      <c r="T3377" s="15" t="n">
        <v>140</v>
      </c>
      <c r="U3377" s="15" t="n">
        <v>10</v>
      </c>
      <c r="V3377" s="15">
        <f>ROUNDUP((T3377+U3377+2*'Read Me'!$B$13)*(1+'Read Me'!$B$12),-1)</f>
        <v/>
      </c>
      <c r="W3377" s="15">
        <f>V3377*N3377*O3377</f>
        <v/>
      </c>
      <c r="X3377" s="12">
        <f>IF(LEFT(I3377,2)="MV",2*N3377*IF(L3377="1/C",O3377,1),0)</f>
        <v/>
      </c>
      <c r="Y3377" s="12">
        <f>IF(OR(LEFT(K3377,4)="LVAX",LEFT(K3377,6)="MV15AX",LEFT(K3377,4)="CTAX",LEFT(K3377,2)="W|"),2*N3377*O3377,0)</f>
        <v/>
      </c>
      <c r="Z3377" s="12" t="inlineStr">
        <is>
          <t>device-to-JB field wiring, one cable per device</t>
        </is>
      </c>
      <c r="AA3377" s="12">
        <f>N3377*O3377</f>
        <v/>
      </c>
    </row>
    <row r="3378">
      <c r="A3378" s="12" t="inlineStr">
        <is>
          <t>G-I-0104</t>
        </is>
      </c>
      <c r="B3378" s="12" t="inlineStr">
        <is>
          <t>G</t>
        </is>
      </c>
      <c r="C3378" s="12" t="inlineStr">
        <is>
          <t>Carbon capture</t>
        </is>
      </c>
      <c r="D3378" s="12" t="inlineStr">
        <is>
          <t>Home run JB-CCS wastewater (DC-AI01 to the control / marshalling room</t>
        </is>
      </c>
      <c r="E3378" s="12" t="inlineStr"/>
      <c r="F3378" s="12" t="inlineStr">
        <is>
          <t>CCS F&amp;G / control</t>
        </is>
      </c>
      <c r="G3378" s="12" t="inlineStr">
        <is>
          <t>JB-CCS wastewater (DC-AI01</t>
        </is>
      </c>
      <c r="H3378" s="12" t="inlineStr">
        <is>
          <t>CCS wastewater (DCC + tower blowdown)</t>
        </is>
      </c>
      <c r="I3378" s="12" t="inlineStr">
        <is>
          <t>Instrumentation</t>
        </is>
      </c>
      <c r="J3378" s="12" t="inlineStr">
        <is>
          <t>Instrumentation PLTC / TC-ER 300 V, #18 twisted shielded pairs, overall shield</t>
        </is>
      </c>
      <c r="K3378" s="12" t="inlineStr">
        <is>
          <t>PLTC|24 pr|18</t>
        </is>
      </c>
      <c r="L3378" s="12" t="inlineStr">
        <is>
          <t>24 pr</t>
        </is>
      </c>
      <c r="M3378" s="12" t="inlineStr">
        <is>
          <t>18</t>
        </is>
      </c>
      <c r="N3378" s="12" t="n">
        <v>1</v>
      </c>
      <c r="O3378" s="12" t="n">
        <v>1</v>
      </c>
      <c r="P3378" s="12" t="n"/>
      <c r="Q3378" s="12" t="n"/>
      <c r="R3378" s="12" t="n"/>
      <c r="S3378" s="12" t="inlineStr">
        <is>
          <t>Duct bank</t>
        </is>
      </c>
      <c r="T3378" s="15" t="n">
        <v>656</v>
      </c>
      <c r="U3378" s="15" t="n">
        <v>121</v>
      </c>
      <c r="V3378" s="15">
        <f>ROUNDUP((T3378+U3378+2*'Read Me'!$B$13)*(1+'Read Me'!$B$12),-1)</f>
        <v/>
      </c>
      <c r="W3378" s="15">
        <f>V3378*N3378*O3378</f>
        <v/>
      </c>
      <c r="X3378" s="12">
        <f>IF(LEFT(I3378,2)="MV",2*N3378*IF(L3378="1/C",O3378,1),0)</f>
        <v/>
      </c>
      <c r="Y3378" s="12">
        <f>IF(OR(LEFT(K3378,4)="LVAX",LEFT(K3378,6)="MV15AX",LEFT(K3378,4)="CTAX",LEFT(K3378,2)="W|"),2*N3378*O3378,0)</f>
        <v/>
      </c>
      <c r="Z3378" s="12" t="inlineStr"/>
      <c r="AA3378" s="12">
        <f>N3378*O3378</f>
        <v/>
      </c>
    </row>
    <row r="3379">
      <c r="A3379" s="12" t="inlineStr">
        <is>
          <t>G-I-0105</t>
        </is>
      </c>
      <c r="B3379" s="12" t="inlineStr">
        <is>
          <t>G</t>
        </is>
      </c>
      <c r="C3379" s="12" t="inlineStr">
        <is>
          <t>Carbon capture</t>
        </is>
      </c>
      <c r="D3379" s="12" t="inlineStr">
        <is>
          <t>Discrete device to JB JB-CCS wastewater (DC-DI01: 15 x 1 pr (field cables)</t>
        </is>
      </c>
      <c r="E3379" s="12" t="inlineStr"/>
      <c r="F3379" s="12" t="inlineStr">
        <is>
          <t>CCS wastewater (DCC + tower blowdown)</t>
        </is>
      </c>
      <c r="G3379" s="12" t="inlineStr">
        <is>
          <t>JB-CCS wastewater (DC-DI01</t>
        </is>
      </c>
      <c r="H3379" s="12" t="inlineStr">
        <is>
          <t>CCS wastewater (DCC + tower blowdown)</t>
        </is>
      </c>
      <c r="I3379" s="12" t="inlineStr">
        <is>
          <t>Instrumentation</t>
        </is>
      </c>
      <c r="J3379" s="12" t="inlineStr">
        <is>
          <t>Instrumentation PLTC / TC-ER 300 V, #18 twisted shielded pairs, overall shield</t>
        </is>
      </c>
      <c r="K3379" s="12" t="inlineStr">
        <is>
          <t>PLTC|1 pr|16</t>
        </is>
      </c>
      <c r="L3379" s="12" t="inlineStr">
        <is>
          <t>1 pr</t>
        </is>
      </c>
      <c r="M3379" s="12" t="inlineStr">
        <is>
          <t>16</t>
        </is>
      </c>
      <c r="N3379" s="12" t="n">
        <v>15</v>
      </c>
      <c r="O3379" s="12" t="n">
        <v>1</v>
      </c>
      <c r="P3379" s="12" t="n"/>
      <c r="Q3379" s="12" t="n"/>
      <c r="R3379" s="12" t="n"/>
      <c r="S3379" s="12" t="inlineStr">
        <is>
          <t>Tray / conduit</t>
        </is>
      </c>
      <c r="T3379" s="15" t="n">
        <v>140</v>
      </c>
      <c r="U3379" s="15" t="n">
        <v>10</v>
      </c>
      <c r="V3379" s="15">
        <f>ROUNDUP((T3379+U3379+2*'Read Me'!$B$13)*(1+'Read Me'!$B$12),-1)</f>
        <v/>
      </c>
      <c r="W3379" s="15">
        <f>V3379*N3379*O3379</f>
        <v/>
      </c>
      <c r="X3379" s="12">
        <f>IF(LEFT(I3379,2)="MV",2*N3379*IF(L3379="1/C",O3379,1),0)</f>
        <v/>
      </c>
      <c r="Y3379" s="12">
        <f>IF(OR(LEFT(K3379,4)="LVAX",LEFT(K3379,6)="MV15AX",LEFT(K3379,4)="CTAX",LEFT(K3379,2)="W|"),2*N3379*O3379,0)</f>
        <v/>
      </c>
      <c r="Z3379" s="12" t="inlineStr">
        <is>
          <t>device-to-JB field wiring, one cable per device</t>
        </is>
      </c>
      <c r="AA3379" s="12">
        <f>N3379*O3379</f>
        <v/>
      </c>
    </row>
    <row r="3380">
      <c r="A3380" s="12" t="inlineStr">
        <is>
          <t>G-I-0106</t>
        </is>
      </c>
      <c r="B3380" s="12" t="inlineStr">
        <is>
          <t>G</t>
        </is>
      </c>
      <c r="C3380" s="12" t="inlineStr">
        <is>
          <t>Carbon capture</t>
        </is>
      </c>
      <c r="D3380" s="12" t="inlineStr">
        <is>
          <t>Home run JB-CCS wastewater (DC-DI01 to the control / marshalling room</t>
        </is>
      </c>
      <c r="E3380" s="12" t="inlineStr"/>
      <c r="F3380" s="12" t="inlineStr">
        <is>
          <t>CCS F&amp;G / control</t>
        </is>
      </c>
      <c r="G3380" s="12" t="inlineStr">
        <is>
          <t>JB-CCS wastewater (DC-DI01</t>
        </is>
      </c>
      <c r="H3380" s="12" t="inlineStr">
        <is>
          <t>CCS wastewater (DCC + tower blowdown)</t>
        </is>
      </c>
      <c r="I3380" s="12" t="inlineStr">
        <is>
          <t>Instrumentation</t>
        </is>
      </c>
      <c r="J3380" s="12" t="inlineStr">
        <is>
          <t>Instrumentation PLTC / TC-ER 300 V, #18 twisted shielded pairs, overall shield</t>
        </is>
      </c>
      <c r="K3380" s="12" t="inlineStr">
        <is>
          <t>PLTC|24 pr|18</t>
        </is>
      </c>
      <c r="L3380" s="12" t="inlineStr">
        <is>
          <t>24 pr</t>
        </is>
      </c>
      <c r="M3380" s="12" t="inlineStr">
        <is>
          <t>18</t>
        </is>
      </c>
      <c r="N3380" s="12" t="n">
        <v>1</v>
      </c>
      <c r="O3380" s="12" t="n">
        <v>1</v>
      </c>
      <c r="P3380" s="12" t="n"/>
      <c r="Q3380" s="12" t="n"/>
      <c r="R3380" s="12" t="n"/>
      <c r="S3380" s="12" t="inlineStr">
        <is>
          <t>Duct bank</t>
        </is>
      </c>
      <c r="T3380" s="15" t="n">
        <v>656</v>
      </c>
      <c r="U3380" s="15" t="n">
        <v>121</v>
      </c>
      <c r="V3380" s="15">
        <f>ROUNDUP((T3380+U3380+2*'Read Me'!$B$13)*(1+'Read Me'!$B$12),-1)</f>
        <v/>
      </c>
      <c r="W3380" s="15">
        <f>V3380*N3380*O3380</f>
        <v/>
      </c>
      <c r="X3380" s="12">
        <f>IF(LEFT(I3380,2)="MV",2*N3380*IF(L3380="1/C",O3380,1),0)</f>
        <v/>
      </c>
      <c r="Y3380" s="12">
        <f>IF(OR(LEFT(K3380,4)="LVAX",LEFT(K3380,6)="MV15AX",LEFT(K3380,4)="CTAX",LEFT(K3380,2)="W|"),2*N3380*O3380,0)</f>
        <v/>
      </c>
      <c r="Z3380" s="12" t="inlineStr"/>
      <c r="AA3380" s="12">
        <f>N3380*O3380</f>
        <v/>
      </c>
    </row>
    <row r="3381">
      <c r="A3381" s="12" t="inlineStr">
        <is>
          <t>G-I-0107</t>
        </is>
      </c>
      <c r="B3381" s="12" t="inlineStr">
        <is>
          <t>G</t>
        </is>
      </c>
      <c r="C3381" s="12" t="inlineStr">
        <is>
          <t>Carbon capture</t>
        </is>
      </c>
      <c r="D3381" s="12" t="inlineStr">
        <is>
          <t>Analog instrument to JB JB-CO2 compression 3 -AI01: 20 x 1 pr (field cables)</t>
        </is>
      </c>
      <c r="E3381" s="12" t="inlineStr"/>
      <c r="F3381" s="12" t="inlineStr">
        <is>
          <t>CO2 compression 3 x ~19 MW + dehydration</t>
        </is>
      </c>
      <c r="G3381" s="12" t="inlineStr">
        <is>
          <t>JB-CO2 compression 3 -AI01</t>
        </is>
      </c>
      <c r="H3381" s="12" t="inlineStr">
        <is>
          <t>CO2 compression 3 x ~19 MW + dehydration</t>
        </is>
      </c>
      <c r="I3381" s="12" t="inlineStr">
        <is>
          <t>Instrumentation</t>
        </is>
      </c>
      <c r="J3381" s="12" t="inlineStr">
        <is>
          <t>Instrumentation PLTC / TC-ER 300 V, #18 twisted shielded pairs, overall shield</t>
        </is>
      </c>
      <c r="K3381" s="12" t="inlineStr">
        <is>
          <t>PLTC|1 pr|16</t>
        </is>
      </c>
      <c r="L3381" s="12" t="inlineStr">
        <is>
          <t>1 pr</t>
        </is>
      </c>
      <c r="M3381" s="12" t="inlineStr">
        <is>
          <t>16</t>
        </is>
      </c>
      <c r="N3381" s="12" t="n">
        <v>20</v>
      </c>
      <c r="O3381" s="12" t="n">
        <v>1</v>
      </c>
      <c r="P3381" s="12" t="n"/>
      <c r="Q3381" s="12" t="n"/>
      <c r="R3381" s="12" t="n"/>
      <c r="S3381" s="12" t="inlineStr">
        <is>
          <t>Tray / conduit</t>
        </is>
      </c>
      <c r="T3381" s="15" t="n">
        <v>159</v>
      </c>
      <c r="U3381" s="15" t="n">
        <v>10</v>
      </c>
      <c r="V3381" s="15">
        <f>ROUNDUP((T3381+U3381+2*'Read Me'!$B$13)*(1+'Read Me'!$B$12),-1)</f>
        <v/>
      </c>
      <c r="W3381" s="15">
        <f>V3381*N3381*O3381</f>
        <v/>
      </c>
      <c r="X3381" s="12">
        <f>IF(LEFT(I3381,2)="MV",2*N3381*IF(L3381="1/C",O3381,1),0)</f>
        <v/>
      </c>
      <c r="Y3381" s="12">
        <f>IF(OR(LEFT(K3381,4)="LVAX",LEFT(K3381,6)="MV15AX",LEFT(K3381,4)="CTAX",LEFT(K3381,2)="W|"),2*N3381*O3381,0)</f>
        <v/>
      </c>
      <c r="Z3381" s="12" t="inlineStr">
        <is>
          <t>device-to-JB field wiring, one cable per device</t>
        </is>
      </c>
      <c r="AA3381" s="12">
        <f>N3381*O3381</f>
        <v/>
      </c>
    </row>
    <row r="3382">
      <c r="A3382" s="12" t="inlineStr">
        <is>
          <t>G-I-0108</t>
        </is>
      </c>
      <c r="B3382" s="12" t="inlineStr">
        <is>
          <t>G</t>
        </is>
      </c>
      <c r="C3382" s="12" t="inlineStr">
        <is>
          <t>Carbon capture</t>
        </is>
      </c>
      <c r="D3382" s="12" t="inlineStr">
        <is>
          <t>Home run JB-CO2 compression 3 -AI01 to the control / marshalling room</t>
        </is>
      </c>
      <c r="E3382" s="12" t="inlineStr"/>
      <c r="F3382" s="12" t="inlineStr">
        <is>
          <t>CCS F&amp;G / control</t>
        </is>
      </c>
      <c r="G3382" s="12" t="inlineStr">
        <is>
          <t>JB-CO2 compression 3 -AI01</t>
        </is>
      </c>
      <c r="H3382" s="12" t="inlineStr">
        <is>
          <t>CO2 compression 3 x ~19 MW + dehydration</t>
        </is>
      </c>
      <c r="I3382" s="12" t="inlineStr">
        <is>
          <t>Instrumentation</t>
        </is>
      </c>
      <c r="J3382" s="12" t="inlineStr">
        <is>
          <t>Instrumentation PLTC / TC-ER 300 V, #18 twisted shielded pairs, overall shield</t>
        </is>
      </c>
      <c r="K3382" s="12" t="inlineStr">
        <is>
          <t>PLTC|24 pr|18</t>
        </is>
      </c>
      <c r="L3382" s="12" t="inlineStr">
        <is>
          <t>24 pr</t>
        </is>
      </c>
      <c r="M3382" s="12" t="inlineStr">
        <is>
          <t>18</t>
        </is>
      </c>
      <c r="N3382" s="12" t="n">
        <v>1</v>
      </c>
      <c r="O3382" s="12" t="n">
        <v>1</v>
      </c>
      <c r="P3382" s="12" t="n"/>
      <c r="Q3382" s="12" t="n"/>
      <c r="R3382" s="12" t="n"/>
      <c r="S3382" s="12" t="inlineStr">
        <is>
          <t>Duct bank</t>
        </is>
      </c>
      <c r="T3382" s="15" t="n">
        <v>183</v>
      </c>
      <c r="U3382" s="15" t="n">
        <v>105</v>
      </c>
      <c r="V3382" s="15">
        <f>ROUNDUP((T3382+U3382+2*'Read Me'!$B$13)*(1+'Read Me'!$B$12),-1)</f>
        <v/>
      </c>
      <c r="W3382" s="15">
        <f>V3382*N3382*O3382</f>
        <v/>
      </c>
      <c r="X3382" s="12">
        <f>IF(LEFT(I3382,2)="MV",2*N3382*IF(L3382="1/C",O3382,1),0)</f>
        <v/>
      </c>
      <c r="Y3382" s="12">
        <f>IF(OR(LEFT(K3382,4)="LVAX",LEFT(K3382,6)="MV15AX",LEFT(K3382,4)="CTAX",LEFT(K3382,2)="W|"),2*N3382*O3382,0)</f>
        <v/>
      </c>
      <c r="Z3382" s="12" t="inlineStr"/>
      <c r="AA3382" s="12">
        <f>N3382*O3382</f>
        <v/>
      </c>
    </row>
    <row r="3383">
      <c r="A3383" s="12" t="inlineStr">
        <is>
          <t>G-I-0109</t>
        </is>
      </c>
      <c r="B3383" s="12" t="inlineStr">
        <is>
          <t>G</t>
        </is>
      </c>
      <c r="C3383" s="12" t="inlineStr">
        <is>
          <t>Carbon capture</t>
        </is>
      </c>
      <c r="D3383" s="12" t="inlineStr">
        <is>
          <t>Analog instrument to JB JB-CO2 compression 3 -AI02: 20 x 1 pr (field cables)</t>
        </is>
      </c>
      <c r="E3383" s="12" t="inlineStr"/>
      <c r="F3383" s="12" t="inlineStr">
        <is>
          <t>CO2 compression 3 x ~19 MW + dehydration</t>
        </is>
      </c>
      <c r="G3383" s="12" t="inlineStr">
        <is>
          <t>JB-CO2 compression 3 -AI02</t>
        </is>
      </c>
      <c r="H3383" s="12" t="inlineStr">
        <is>
          <t>CO2 compression 3 x ~19 MW + dehydration</t>
        </is>
      </c>
      <c r="I3383" s="12" t="inlineStr">
        <is>
          <t>Instrumentation</t>
        </is>
      </c>
      <c r="J3383" s="12" t="inlineStr">
        <is>
          <t>Instrumentation PLTC / TC-ER 300 V, #18 twisted shielded pairs, overall shield</t>
        </is>
      </c>
      <c r="K3383" s="12" t="inlineStr">
        <is>
          <t>PLTC|1 pr|16</t>
        </is>
      </c>
      <c r="L3383" s="12" t="inlineStr">
        <is>
          <t>1 pr</t>
        </is>
      </c>
      <c r="M3383" s="12" t="inlineStr">
        <is>
          <t>16</t>
        </is>
      </c>
      <c r="N3383" s="12" t="n">
        <v>20</v>
      </c>
      <c r="O3383" s="12" t="n">
        <v>1</v>
      </c>
      <c r="P3383" s="12" t="n"/>
      <c r="Q3383" s="12" t="n"/>
      <c r="R3383" s="12" t="n"/>
      <c r="S3383" s="12" t="inlineStr">
        <is>
          <t>Tray / conduit</t>
        </is>
      </c>
      <c r="T3383" s="15" t="n">
        <v>159</v>
      </c>
      <c r="U3383" s="15" t="n">
        <v>10</v>
      </c>
      <c r="V3383" s="15">
        <f>ROUNDUP((T3383+U3383+2*'Read Me'!$B$13)*(1+'Read Me'!$B$12),-1)</f>
        <v/>
      </c>
      <c r="W3383" s="15">
        <f>V3383*N3383*O3383</f>
        <v/>
      </c>
      <c r="X3383" s="12">
        <f>IF(LEFT(I3383,2)="MV",2*N3383*IF(L3383="1/C",O3383,1),0)</f>
        <v/>
      </c>
      <c r="Y3383" s="12">
        <f>IF(OR(LEFT(K3383,4)="LVAX",LEFT(K3383,6)="MV15AX",LEFT(K3383,4)="CTAX",LEFT(K3383,2)="W|"),2*N3383*O3383,0)</f>
        <v/>
      </c>
      <c r="Z3383" s="12" t="inlineStr">
        <is>
          <t>device-to-JB field wiring, one cable per device</t>
        </is>
      </c>
      <c r="AA3383" s="12">
        <f>N3383*O3383</f>
        <v/>
      </c>
    </row>
    <row r="3384">
      <c r="A3384" s="12" t="inlineStr">
        <is>
          <t>G-I-0110</t>
        </is>
      </c>
      <c r="B3384" s="12" t="inlineStr">
        <is>
          <t>G</t>
        </is>
      </c>
      <c r="C3384" s="12" t="inlineStr">
        <is>
          <t>Carbon capture</t>
        </is>
      </c>
      <c r="D3384" s="12" t="inlineStr">
        <is>
          <t>Home run JB-CO2 compression 3 -AI02 to the control / marshalling room</t>
        </is>
      </c>
      <c r="E3384" s="12" t="inlineStr"/>
      <c r="F3384" s="12" t="inlineStr">
        <is>
          <t>CCS F&amp;G / control</t>
        </is>
      </c>
      <c r="G3384" s="12" t="inlineStr">
        <is>
          <t>JB-CO2 compression 3 -AI02</t>
        </is>
      </c>
      <c r="H3384" s="12" t="inlineStr">
        <is>
          <t>CO2 compression 3 x ~19 MW + dehydration</t>
        </is>
      </c>
      <c r="I3384" s="12" t="inlineStr">
        <is>
          <t>Instrumentation</t>
        </is>
      </c>
      <c r="J3384" s="12" t="inlineStr">
        <is>
          <t>Instrumentation PLTC / TC-ER 300 V, #18 twisted shielded pairs, overall shield</t>
        </is>
      </c>
      <c r="K3384" s="12" t="inlineStr">
        <is>
          <t>PLTC|24 pr|18</t>
        </is>
      </c>
      <c r="L3384" s="12" t="inlineStr">
        <is>
          <t>24 pr</t>
        </is>
      </c>
      <c r="M3384" s="12" t="inlineStr">
        <is>
          <t>18</t>
        </is>
      </c>
      <c r="N3384" s="12" t="n">
        <v>1</v>
      </c>
      <c r="O3384" s="12" t="n">
        <v>1</v>
      </c>
      <c r="P3384" s="12" t="n"/>
      <c r="Q3384" s="12" t="n"/>
      <c r="R3384" s="12" t="n"/>
      <c r="S3384" s="12" t="inlineStr">
        <is>
          <t>Duct bank</t>
        </is>
      </c>
      <c r="T3384" s="15" t="n">
        <v>183</v>
      </c>
      <c r="U3384" s="15" t="n">
        <v>105</v>
      </c>
      <c r="V3384" s="15">
        <f>ROUNDUP((T3384+U3384+2*'Read Me'!$B$13)*(1+'Read Me'!$B$12),-1)</f>
        <v/>
      </c>
      <c r="W3384" s="15">
        <f>V3384*N3384*O3384</f>
        <v/>
      </c>
      <c r="X3384" s="12">
        <f>IF(LEFT(I3384,2)="MV",2*N3384*IF(L3384="1/C",O3384,1),0)</f>
        <v/>
      </c>
      <c r="Y3384" s="12">
        <f>IF(OR(LEFT(K3384,4)="LVAX",LEFT(K3384,6)="MV15AX",LEFT(K3384,4)="CTAX",LEFT(K3384,2)="W|"),2*N3384*O3384,0)</f>
        <v/>
      </c>
      <c r="Z3384" s="12" t="inlineStr"/>
      <c r="AA3384" s="12">
        <f>N3384*O3384</f>
        <v/>
      </c>
    </row>
    <row r="3385">
      <c r="A3385" s="12" t="inlineStr">
        <is>
          <t>G-I-0111</t>
        </is>
      </c>
      <c r="B3385" s="12" t="inlineStr">
        <is>
          <t>G</t>
        </is>
      </c>
      <c r="C3385" s="12" t="inlineStr">
        <is>
          <t>Carbon capture</t>
        </is>
      </c>
      <c r="D3385" s="12" t="inlineStr">
        <is>
          <t>Analog instrument to JB JB-CO2 compression 3 -AI03: 20 x 1 pr (field cables)</t>
        </is>
      </c>
      <c r="E3385" s="12" t="inlineStr"/>
      <c r="F3385" s="12" t="inlineStr">
        <is>
          <t>CO2 compression 3 x ~19 MW + dehydration</t>
        </is>
      </c>
      <c r="G3385" s="12" t="inlineStr">
        <is>
          <t>JB-CO2 compression 3 -AI03</t>
        </is>
      </c>
      <c r="H3385" s="12" t="inlineStr">
        <is>
          <t>CO2 compression 3 x ~19 MW + dehydration</t>
        </is>
      </c>
      <c r="I3385" s="12" t="inlineStr">
        <is>
          <t>Instrumentation</t>
        </is>
      </c>
      <c r="J3385" s="12" t="inlineStr">
        <is>
          <t>Instrumentation PLTC / TC-ER 300 V, #18 twisted shielded pairs, overall shield</t>
        </is>
      </c>
      <c r="K3385" s="12" t="inlineStr">
        <is>
          <t>PLTC|1 pr|16</t>
        </is>
      </c>
      <c r="L3385" s="12" t="inlineStr">
        <is>
          <t>1 pr</t>
        </is>
      </c>
      <c r="M3385" s="12" t="inlineStr">
        <is>
          <t>16</t>
        </is>
      </c>
      <c r="N3385" s="12" t="n">
        <v>20</v>
      </c>
      <c r="O3385" s="12" t="n">
        <v>1</v>
      </c>
      <c r="P3385" s="12" t="n"/>
      <c r="Q3385" s="12" t="n"/>
      <c r="R3385" s="12" t="n"/>
      <c r="S3385" s="12" t="inlineStr">
        <is>
          <t>Tray / conduit</t>
        </is>
      </c>
      <c r="T3385" s="15" t="n">
        <v>159</v>
      </c>
      <c r="U3385" s="15" t="n">
        <v>10</v>
      </c>
      <c r="V3385" s="15">
        <f>ROUNDUP((T3385+U3385+2*'Read Me'!$B$13)*(1+'Read Me'!$B$12),-1)</f>
        <v/>
      </c>
      <c r="W3385" s="15">
        <f>V3385*N3385*O3385</f>
        <v/>
      </c>
      <c r="X3385" s="12">
        <f>IF(LEFT(I3385,2)="MV",2*N3385*IF(L3385="1/C",O3385,1),0)</f>
        <v/>
      </c>
      <c r="Y3385" s="12">
        <f>IF(OR(LEFT(K3385,4)="LVAX",LEFT(K3385,6)="MV15AX",LEFT(K3385,4)="CTAX",LEFT(K3385,2)="W|"),2*N3385*O3385,0)</f>
        <v/>
      </c>
      <c r="Z3385" s="12" t="inlineStr">
        <is>
          <t>device-to-JB field wiring, one cable per device</t>
        </is>
      </c>
      <c r="AA3385" s="12">
        <f>N3385*O3385</f>
        <v/>
      </c>
    </row>
    <row r="3386">
      <c r="A3386" s="12" t="inlineStr">
        <is>
          <t>G-I-0112</t>
        </is>
      </c>
      <c r="B3386" s="12" t="inlineStr">
        <is>
          <t>G</t>
        </is>
      </c>
      <c r="C3386" s="12" t="inlineStr">
        <is>
          <t>Carbon capture</t>
        </is>
      </c>
      <c r="D3386" s="12" t="inlineStr">
        <is>
          <t>Home run JB-CO2 compression 3 -AI03 to the control / marshalling room</t>
        </is>
      </c>
      <c r="E3386" s="12" t="inlineStr"/>
      <c r="F3386" s="12" t="inlineStr">
        <is>
          <t>CCS F&amp;G / control</t>
        </is>
      </c>
      <c r="G3386" s="12" t="inlineStr">
        <is>
          <t>JB-CO2 compression 3 -AI03</t>
        </is>
      </c>
      <c r="H3386" s="12" t="inlineStr">
        <is>
          <t>CO2 compression 3 x ~19 MW + dehydration</t>
        </is>
      </c>
      <c r="I3386" s="12" t="inlineStr">
        <is>
          <t>Instrumentation</t>
        </is>
      </c>
      <c r="J3386" s="12" t="inlineStr">
        <is>
          <t>Instrumentation PLTC / TC-ER 300 V, #18 twisted shielded pairs, overall shield</t>
        </is>
      </c>
      <c r="K3386" s="12" t="inlineStr">
        <is>
          <t>PLTC|24 pr|18</t>
        </is>
      </c>
      <c r="L3386" s="12" t="inlineStr">
        <is>
          <t>24 pr</t>
        </is>
      </c>
      <c r="M3386" s="12" t="inlineStr">
        <is>
          <t>18</t>
        </is>
      </c>
      <c r="N3386" s="12" t="n">
        <v>1</v>
      </c>
      <c r="O3386" s="12" t="n">
        <v>1</v>
      </c>
      <c r="P3386" s="12" t="n"/>
      <c r="Q3386" s="12" t="n"/>
      <c r="R3386" s="12" t="n"/>
      <c r="S3386" s="12" t="inlineStr">
        <is>
          <t>Duct bank</t>
        </is>
      </c>
      <c r="T3386" s="15" t="n">
        <v>183</v>
      </c>
      <c r="U3386" s="15" t="n">
        <v>105</v>
      </c>
      <c r="V3386" s="15">
        <f>ROUNDUP((T3386+U3386+2*'Read Me'!$B$13)*(1+'Read Me'!$B$12),-1)</f>
        <v/>
      </c>
      <c r="W3386" s="15">
        <f>V3386*N3386*O3386</f>
        <v/>
      </c>
      <c r="X3386" s="12">
        <f>IF(LEFT(I3386,2)="MV",2*N3386*IF(L3386="1/C",O3386,1),0)</f>
        <v/>
      </c>
      <c r="Y3386" s="12">
        <f>IF(OR(LEFT(K3386,4)="LVAX",LEFT(K3386,6)="MV15AX",LEFT(K3386,4)="CTAX",LEFT(K3386,2)="W|"),2*N3386*O3386,0)</f>
        <v/>
      </c>
      <c r="Z3386" s="12" t="inlineStr"/>
      <c r="AA3386" s="12">
        <f>N3386*O3386</f>
        <v/>
      </c>
    </row>
    <row r="3387">
      <c r="A3387" s="12" t="inlineStr">
        <is>
          <t>G-I-0113</t>
        </is>
      </c>
      <c r="B3387" s="12" t="inlineStr">
        <is>
          <t>G</t>
        </is>
      </c>
      <c r="C3387" s="12" t="inlineStr">
        <is>
          <t>Carbon capture</t>
        </is>
      </c>
      <c r="D3387" s="12" t="inlineStr">
        <is>
          <t>Analog instrument to JB JB-CO2 compression 3 -AI04: 20 x 1 pr (field cables)</t>
        </is>
      </c>
      <c r="E3387" s="12" t="inlineStr"/>
      <c r="F3387" s="12" t="inlineStr">
        <is>
          <t>CO2 compression 3 x ~19 MW + dehydration</t>
        </is>
      </c>
      <c r="G3387" s="12" t="inlineStr">
        <is>
          <t>JB-CO2 compression 3 -AI04</t>
        </is>
      </c>
      <c r="H3387" s="12" t="inlineStr">
        <is>
          <t>CO2 compression 3 x ~19 MW + dehydration</t>
        </is>
      </c>
      <c r="I3387" s="12" t="inlineStr">
        <is>
          <t>Instrumentation</t>
        </is>
      </c>
      <c r="J3387" s="12" t="inlineStr">
        <is>
          <t>Instrumentation PLTC / TC-ER 300 V, #18 twisted shielded pairs, overall shield</t>
        </is>
      </c>
      <c r="K3387" s="12" t="inlineStr">
        <is>
          <t>PLTC|1 pr|16</t>
        </is>
      </c>
      <c r="L3387" s="12" t="inlineStr">
        <is>
          <t>1 pr</t>
        </is>
      </c>
      <c r="M3387" s="12" t="inlineStr">
        <is>
          <t>16</t>
        </is>
      </c>
      <c r="N3387" s="12" t="n">
        <v>20</v>
      </c>
      <c r="O3387" s="12" t="n">
        <v>1</v>
      </c>
      <c r="P3387" s="12" t="n"/>
      <c r="Q3387" s="12" t="n"/>
      <c r="R3387" s="12" t="n"/>
      <c r="S3387" s="12" t="inlineStr">
        <is>
          <t>Tray / conduit</t>
        </is>
      </c>
      <c r="T3387" s="15" t="n">
        <v>159</v>
      </c>
      <c r="U3387" s="15" t="n">
        <v>10</v>
      </c>
      <c r="V3387" s="15">
        <f>ROUNDUP((T3387+U3387+2*'Read Me'!$B$13)*(1+'Read Me'!$B$12),-1)</f>
        <v/>
      </c>
      <c r="W3387" s="15">
        <f>V3387*N3387*O3387</f>
        <v/>
      </c>
      <c r="X3387" s="12">
        <f>IF(LEFT(I3387,2)="MV",2*N3387*IF(L3387="1/C",O3387,1),0)</f>
        <v/>
      </c>
      <c r="Y3387" s="12">
        <f>IF(OR(LEFT(K3387,4)="LVAX",LEFT(K3387,6)="MV15AX",LEFT(K3387,4)="CTAX",LEFT(K3387,2)="W|"),2*N3387*O3387,0)</f>
        <v/>
      </c>
      <c r="Z3387" s="12" t="inlineStr">
        <is>
          <t>device-to-JB field wiring, one cable per device</t>
        </is>
      </c>
      <c r="AA3387" s="12">
        <f>N3387*O3387</f>
        <v/>
      </c>
    </row>
    <row r="3388">
      <c r="A3388" s="12" t="inlineStr">
        <is>
          <t>G-I-0114</t>
        </is>
      </c>
      <c r="B3388" s="12" t="inlineStr">
        <is>
          <t>G</t>
        </is>
      </c>
      <c r="C3388" s="12" t="inlineStr">
        <is>
          <t>Carbon capture</t>
        </is>
      </c>
      <c r="D3388" s="12" t="inlineStr">
        <is>
          <t>Home run JB-CO2 compression 3 -AI04 to the control / marshalling room</t>
        </is>
      </c>
      <c r="E3388" s="12" t="inlineStr"/>
      <c r="F3388" s="12" t="inlineStr">
        <is>
          <t>CCS F&amp;G / control</t>
        </is>
      </c>
      <c r="G3388" s="12" t="inlineStr">
        <is>
          <t>JB-CO2 compression 3 -AI04</t>
        </is>
      </c>
      <c r="H3388" s="12" t="inlineStr">
        <is>
          <t>CO2 compression 3 x ~19 MW + dehydration</t>
        </is>
      </c>
      <c r="I3388" s="12" t="inlineStr">
        <is>
          <t>Instrumentation</t>
        </is>
      </c>
      <c r="J3388" s="12" t="inlineStr">
        <is>
          <t>Instrumentation PLTC / TC-ER 300 V, #18 twisted shielded pairs, overall shield</t>
        </is>
      </c>
      <c r="K3388" s="12" t="inlineStr">
        <is>
          <t>PLTC|24 pr|18</t>
        </is>
      </c>
      <c r="L3388" s="12" t="inlineStr">
        <is>
          <t>24 pr</t>
        </is>
      </c>
      <c r="M3388" s="12" t="inlineStr">
        <is>
          <t>18</t>
        </is>
      </c>
      <c r="N3388" s="12" t="n">
        <v>1</v>
      </c>
      <c r="O3388" s="12" t="n">
        <v>1</v>
      </c>
      <c r="P3388" s="12" t="n"/>
      <c r="Q3388" s="12" t="n"/>
      <c r="R3388" s="12" t="n"/>
      <c r="S3388" s="12" t="inlineStr">
        <is>
          <t>Duct bank</t>
        </is>
      </c>
      <c r="T3388" s="15" t="n">
        <v>183</v>
      </c>
      <c r="U3388" s="15" t="n">
        <v>105</v>
      </c>
      <c r="V3388" s="15">
        <f>ROUNDUP((T3388+U3388+2*'Read Me'!$B$13)*(1+'Read Me'!$B$12),-1)</f>
        <v/>
      </c>
      <c r="W3388" s="15">
        <f>V3388*N3388*O3388</f>
        <v/>
      </c>
      <c r="X3388" s="12">
        <f>IF(LEFT(I3388,2)="MV",2*N3388*IF(L3388="1/C",O3388,1),0)</f>
        <v/>
      </c>
      <c r="Y3388" s="12">
        <f>IF(OR(LEFT(K3388,4)="LVAX",LEFT(K3388,6)="MV15AX",LEFT(K3388,4)="CTAX",LEFT(K3388,2)="W|"),2*N3388*O3388,0)</f>
        <v/>
      </c>
      <c r="Z3388" s="12" t="inlineStr"/>
      <c r="AA3388" s="12">
        <f>N3388*O3388</f>
        <v/>
      </c>
    </row>
    <row r="3389">
      <c r="A3389" s="12" t="inlineStr">
        <is>
          <t>G-I-0115</t>
        </is>
      </c>
      <c r="B3389" s="12" t="inlineStr">
        <is>
          <t>G</t>
        </is>
      </c>
      <c r="C3389" s="12" t="inlineStr">
        <is>
          <t>Carbon capture</t>
        </is>
      </c>
      <c r="D3389" s="12" t="inlineStr">
        <is>
          <t>Analog instrument to JB JB-CO2 compression 3 -AI05: 20 x 1 pr (field cables)</t>
        </is>
      </c>
      <c r="E3389" s="12" t="inlineStr"/>
      <c r="F3389" s="12" t="inlineStr">
        <is>
          <t>CO2 compression 3 x ~19 MW + dehydration</t>
        </is>
      </c>
      <c r="G3389" s="12" t="inlineStr">
        <is>
          <t>JB-CO2 compression 3 -AI05</t>
        </is>
      </c>
      <c r="H3389" s="12" t="inlineStr">
        <is>
          <t>CO2 compression 3 x ~19 MW + dehydration</t>
        </is>
      </c>
      <c r="I3389" s="12" t="inlineStr">
        <is>
          <t>Instrumentation</t>
        </is>
      </c>
      <c r="J3389" s="12" t="inlineStr">
        <is>
          <t>Instrumentation PLTC / TC-ER 300 V, #18 twisted shielded pairs, overall shield</t>
        </is>
      </c>
      <c r="K3389" s="12" t="inlineStr">
        <is>
          <t>PLTC|1 pr|16</t>
        </is>
      </c>
      <c r="L3389" s="12" t="inlineStr">
        <is>
          <t>1 pr</t>
        </is>
      </c>
      <c r="M3389" s="12" t="inlineStr">
        <is>
          <t>16</t>
        </is>
      </c>
      <c r="N3389" s="12" t="n">
        <v>20</v>
      </c>
      <c r="O3389" s="12" t="n">
        <v>1</v>
      </c>
      <c r="P3389" s="12" t="n"/>
      <c r="Q3389" s="12" t="n"/>
      <c r="R3389" s="12" t="n"/>
      <c r="S3389" s="12" t="inlineStr">
        <is>
          <t>Tray / conduit</t>
        </is>
      </c>
      <c r="T3389" s="15" t="n">
        <v>159</v>
      </c>
      <c r="U3389" s="15" t="n">
        <v>10</v>
      </c>
      <c r="V3389" s="15">
        <f>ROUNDUP((T3389+U3389+2*'Read Me'!$B$13)*(1+'Read Me'!$B$12),-1)</f>
        <v/>
      </c>
      <c r="W3389" s="15">
        <f>V3389*N3389*O3389</f>
        <v/>
      </c>
      <c r="X3389" s="12">
        <f>IF(LEFT(I3389,2)="MV",2*N3389*IF(L3389="1/C",O3389,1),0)</f>
        <v/>
      </c>
      <c r="Y3389" s="12">
        <f>IF(OR(LEFT(K3389,4)="LVAX",LEFT(K3389,6)="MV15AX",LEFT(K3389,4)="CTAX",LEFT(K3389,2)="W|"),2*N3389*O3389,0)</f>
        <v/>
      </c>
      <c r="Z3389" s="12" t="inlineStr">
        <is>
          <t>device-to-JB field wiring, one cable per device</t>
        </is>
      </c>
      <c r="AA3389" s="12">
        <f>N3389*O3389</f>
        <v/>
      </c>
    </row>
    <row r="3390">
      <c r="A3390" s="12" t="inlineStr">
        <is>
          <t>G-I-0116</t>
        </is>
      </c>
      <c r="B3390" s="12" t="inlineStr">
        <is>
          <t>G</t>
        </is>
      </c>
      <c r="C3390" s="12" t="inlineStr">
        <is>
          <t>Carbon capture</t>
        </is>
      </c>
      <c r="D3390" s="12" t="inlineStr">
        <is>
          <t>Home run JB-CO2 compression 3 -AI05 to the control / marshalling room</t>
        </is>
      </c>
      <c r="E3390" s="12" t="inlineStr"/>
      <c r="F3390" s="12" t="inlineStr">
        <is>
          <t>CCS F&amp;G / control</t>
        </is>
      </c>
      <c r="G3390" s="12" t="inlineStr">
        <is>
          <t>JB-CO2 compression 3 -AI05</t>
        </is>
      </c>
      <c r="H3390" s="12" t="inlineStr">
        <is>
          <t>CO2 compression 3 x ~19 MW + dehydration</t>
        </is>
      </c>
      <c r="I3390" s="12" t="inlineStr">
        <is>
          <t>Instrumentation</t>
        </is>
      </c>
      <c r="J3390" s="12" t="inlineStr">
        <is>
          <t>Instrumentation PLTC / TC-ER 300 V, #18 twisted shielded pairs, overall shield</t>
        </is>
      </c>
      <c r="K3390" s="12" t="inlineStr">
        <is>
          <t>PLTC|24 pr|18</t>
        </is>
      </c>
      <c r="L3390" s="12" t="inlineStr">
        <is>
          <t>24 pr</t>
        </is>
      </c>
      <c r="M3390" s="12" t="inlineStr">
        <is>
          <t>18</t>
        </is>
      </c>
      <c r="N3390" s="12" t="n">
        <v>1</v>
      </c>
      <c r="O3390" s="12" t="n">
        <v>1</v>
      </c>
      <c r="P3390" s="12" t="n"/>
      <c r="Q3390" s="12" t="n"/>
      <c r="R3390" s="12" t="n"/>
      <c r="S3390" s="12" t="inlineStr">
        <is>
          <t>Duct bank</t>
        </is>
      </c>
      <c r="T3390" s="15" t="n">
        <v>183</v>
      </c>
      <c r="U3390" s="15" t="n">
        <v>105</v>
      </c>
      <c r="V3390" s="15">
        <f>ROUNDUP((T3390+U3390+2*'Read Me'!$B$13)*(1+'Read Me'!$B$12),-1)</f>
        <v/>
      </c>
      <c r="W3390" s="15">
        <f>V3390*N3390*O3390</f>
        <v/>
      </c>
      <c r="X3390" s="12">
        <f>IF(LEFT(I3390,2)="MV",2*N3390*IF(L3390="1/C",O3390,1),0)</f>
        <v/>
      </c>
      <c r="Y3390" s="12">
        <f>IF(OR(LEFT(K3390,4)="LVAX",LEFT(K3390,6)="MV15AX",LEFT(K3390,4)="CTAX",LEFT(K3390,2)="W|"),2*N3390*O3390,0)</f>
        <v/>
      </c>
      <c r="Z3390" s="12" t="inlineStr"/>
      <c r="AA3390" s="12">
        <f>N3390*O3390</f>
        <v/>
      </c>
    </row>
    <row r="3391">
      <c r="A3391" s="12" t="inlineStr">
        <is>
          <t>G-I-0117</t>
        </is>
      </c>
      <c r="B3391" s="12" t="inlineStr">
        <is>
          <t>G</t>
        </is>
      </c>
      <c r="C3391" s="12" t="inlineStr">
        <is>
          <t>Carbon capture</t>
        </is>
      </c>
      <c r="D3391" s="12" t="inlineStr">
        <is>
          <t>Analog instrument to JB JB-CO2 compression 3 -AI06: 20 x 1 pr (field cables)</t>
        </is>
      </c>
      <c r="E3391" s="12" t="inlineStr"/>
      <c r="F3391" s="12" t="inlineStr">
        <is>
          <t>CO2 compression 3 x ~19 MW + dehydration</t>
        </is>
      </c>
      <c r="G3391" s="12" t="inlineStr">
        <is>
          <t>JB-CO2 compression 3 -AI06</t>
        </is>
      </c>
      <c r="H3391" s="12" t="inlineStr">
        <is>
          <t>CO2 compression 3 x ~19 MW + dehydration</t>
        </is>
      </c>
      <c r="I3391" s="12" t="inlineStr">
        <is>
          <t>Instrumentation</t>
        </is>
      </c>
      <c r="J3391" s="12" t="inlineStr">
        <is>
          <t>Instrumentation PLTC / TC-ER 300 V, #18 twisted shielded pairs, overall shield</t>
        </is>
      </c>
      <c r="K3391" s="12" t="inlineStr">
        <is>
          <t>PLTC|1 pr|16</t>
        </is>
      </c>
      <c r="L3391" s="12" t="inlineStr">
        <is>
          <t>1 pr</t>
        </is>
      </c>
      <c r="M3391" s="12" t="inlineStr">
        <is>
          <t>16</t>
        </is>
      </c>
      <c r="N3391" s="12" t="n">
        <v>20</v>
      </c>
      <c r="O3391" s="12" t="n">
        <v>1</v>
      </c>
      <c r="P3391" s="12" t="n"/>
      <c r="Q3391" s="12" t="n"/>
      <c r="R3391" s="12" t="n"/>
      <c r="S3391" s="12" t="inlineStr">
        <is>
          <t>Tray / conduit</t>
        </is>
      </c>
      <c r="T3391" s="15" t="n">
        <v>159</v>
      </c>
      <c r="U3391" s="15" t="n">
        <v>10</v>
      </c>
      <c r="V3391" s="15">
        <f>ROUNDUP((T3391+U3391+2*'Read Me'!$B$13)*(1+'Read Me'!$B$12),-1)</f>
        <v/>
      </c>
      <c r="W3391" s="15">
        <f>V3391*N3391*O3391</f>
        <v/>
      </c>
      <c r="X3391" s="12">
        <f>IF(LEFT(I3391,2)="MV",2*N3391*IF(L3391="1/C",O3391,1),0)</f>
        <v/>
      </c>
      <c r="Y3391" s="12">
        <f>IF(OR(LEFT(K3391,4)="LVAX",LEFT(K3391,6)="MV15AX",LEFT(K3391,4)="CTAX",LEFT(K3391,2)="W|"),2*N3391*O3391,0)</f>
        <v/>
      </c>
      <c r="Z3391" s="12" t="inlineStr">
        <is>
          <t>device-to-JB field wiring, one cable per device</t>
        </is>
      </c>
      <c r="AA3391" s="12">
        <f>N3391*O3391</f>
        <v/>
      </c>
    </row>
    <row r="3392">
      <c r="A3392" s="12" t="inlineStr">
        <is>
          <t>G-I-0118</t>
        </is>
      </c>
      <c r="B3392" s="12" t="inlineStr">
        <is>
          <t>G</t>
        </is>
      </c>
      <c r="C3392" s="12" t="inlineStr">
        <is>
          <t>Carbon capture</t>
        </is>
      </c>
      <c r="D3392" s="12" t="inlineStr">
        <is>
          <t>Home run JB-CO2 compression 3 -AI06 to the control / marshalling room</t>
        </is>
      </c>
      <c r="E3392" s="12" t="inlineStr"/>
      <c r="F3392" s="12" t="inlineStr">
        <is>
          <t>CCS F&amp;G / control</t>
        </is>
      </c>
      <c r="G3392" s="12" t="inlineStr">
        <is>
          <t>JB-CO2 compression 3 -AI06</t>
        </is>
      </c>
      <c r="H3392" s="12" t="inlineStr">
        <is>
          <t>CO2 compression 3 x ~19 MW + dehydration</t>
        </is>
      </c>
      <c r="I3392" s="12" t="inlineStr">
        <is>
          <t>Instrumentation</t>
        </is>
      </c>
      <c r="J3392" s="12" t="inlineStr">
        <is>
          <t>Instrumentation PLTC / TC-ER 300 V, #18 twisted shielded pairs, overall shield</t>
        </is>
      </c>
      <c r="K3392" s="12" t="inlineStr">
        <is>
          <t>PLTC|24 pr|18</t>
        </is>
      </c>
      <c r="L3392" s="12" t="inlineStr">
        <is>
          <t>24 pr</t>
        </is>
      </c>
      <c r="M3392" s="12" t="inlineStr">
        <is>
          <t>18</t>
        </is>
      </c>
      <c r="N3392" s="12" t="n">
        <v>1</v>
      </c>
      <c r="O3392" s="12" t="n">
        <v>1</v>
      </c>
      <c r="P3392" s="12" t="n"/>
      <c r="Q3392" s="12" t="n"/>
      <c r="R3392" s="12" t="n"/>
      <c r="S3392" s="12" t="inlineStr">
        <is>
          <t>Duct bank</t>
        </is>
      </c>
      <c r="T3392" s="15" t="n">
        <v>183</v>
      </c>
      <c r="U3392" s="15" t="n">
        <v>105</v>
      </c>
      <c r="V3392" s="15">
        <f>ROUNDUP((T3392+U3392+2*'Read Me'!$B$13)*(1+'Read Me'!$B$12),-1)</f>
        <v/>
      </c>
      <c r="W3392" s="15">
        <f>V3392*N3392*O3392</f>
        <v/>
      </c>
      <c r="X3392" s="12">
        <f>IF(LEFT(I3392,2)="MV",2*N3392*IF(L3392="1/C",O3392,1),0)</f>
        <v/>
      </c>
      <c r="Y3392" s="12">
        <f>IF(OR(LEFT(K3392,4)="LVAX",LEFT(K3392,6)="MV15AX",LEFT(K3392,4)="CTAX",LEFT(K3392,2)="W|"),2*N3392*O3392,0)</f>
        <v/>
      </c>
      <c r="Z3392" s="12" t="inlineStr"/>
      <c r="AA3392" s="12">
        <f>N3392*O3392</f>
        <v/>
      </c>
    </row>
    <row r="3393">
      <c r="A3393" s="12" t="inlineStr">
        <is>
          <t>G-I-0119</t>
        </is>
      </c>
      <c r="B3393" s="12" t="inlineStr">
        <is>
          <t>G</t>
        </is>
      </c>
      <c r="C3393" s="12" t="inlineStr">
        <is>
          <t>Carbon capture</t>
        </is>
      </c>
      <c r="D3393" s="12" t="inlineStr">
        <is>
          <t>Analog instrument to JB JB-CO2 compression 3 -AI07: 20 x 1 pr (field cables)</t>
        </is>
      </c>
      <c r="E3393" s="12" t="inlineStr"/>
      <c r="F3393" s="12" t="inlineStr">
        <is>
          <t>CO2 compression 3 x ~19 MW + dehydration</t>
        </is>
      </c>
      <c r="G3393" s="12" t="inlineStr">
        <is>
          <t>JB-CO2 compression 3 -AI07</t>
        </is>
      </c>
      <c r="H3393" s="12" t="inlineStr">
        <is>
          <t>CO2 compression 3 x ~19 MW + dehydration</t>
        </is>
      </c>
      <c r="I3393" s="12" t="inlineStr">
        <is>
          <t>Instrumentation</t>
        </is>
      </c>
      <c r="J3393" s="12" t="inlineStr">
        <is>
          <t>Instrumentation PLTC / TC-ER 300 V, #18 twisted shielded pairs, overall shield</t>
        </is>
      </c>
      <c r="K3393" s="12" t="inlineStr">
        <is>
          <t>PLTC|1 pr|16</t>
        </is>
      </c>
      <c r="L3393" s="12" t="inlineStr">
        <is>
          <t>1 pr</t>
        </is>
      </c>
      <c r="M3393" s="12" t="inlineStr">
        <is>
          <t>16</t>
        </is>
      </c>
      <c r="N3393" s="12" t="n">
        <v>20</v>
      </c>
      <c r="O3393" s="12" t="n">
        <v>1</v>
      </c>
      <c r="P3393" s="12" t="n"/>
      <c r="Q3393" s="12" t="n"/>
      <c r="R3393" s="12" t="n"/>
      <c r="S3393" s="12" t="inlineStr">
        <is>
          <t>Tray / conduit</t>
        </is>
      </c>
      <c r="T3393" s="15" t="n">
        <v>159</v>
      </c>
      <c r="U3393" s="15" t="n">
        <v>10</v>
      </c>
      <c r="V3393" s="15">
        <f>ROUNDUP((T3393+U3393+2*'Read Me'!$B$13)*(1+'Read Me'!$B$12),-1)</f>
        <v/>
      </c>
      <c r="W3393" s="15">
        <f>V3393*N3393*O3393</f>
        <v/>
      </c>
      <c r="X3393" s="12">
        <f>IF(LEFT(I3393,2)="MV",2*N3393*IF(L3393="1/C",O3393,1),0)</f>
        <v/>
      </c>
      <c r="Y3393" s="12">
        <f>IF(OR(LEFT(K3393,4)="LVAX",LEFT(K3393,6)="MV15AX",LEFT(K3393,4)="CTAX",LEFT(K3393,2)="W|"),2*N3393*O3393,0)</f>
        <v/>
      </c>
      <c r="Z3393" s="12" t="inlineStr">
        <is>
          <t>device-to-JB field wiring, one cable per device</t>
        </is>
      </c>
      <c r="AA3393" s="12">
        <f>N3393*O3393</f>
        <v/>
      </c>
    </row>
    <row r="3394">
      <c r="A3394" s="12" t="inlineStr">
        <is>
          <t>G-I-0120</t>
        </is>
      </c>
      <c r="B3394" s="12" t="inlineStr">
        <is>
          <t>G</t>
        </is>
      </c>
      <c r="C3394" s="12" t="inlineStr">
        <is>
          <t>Carbon capture</t>
        </is>
      </c>
      <c r="D3394" s="12" t="inlineStr">
        <is>
          <t>Home run JB-CO2 compression 3 -AI07 to the control / marshalling room</t>
        </is>
      </c>
      <c r="E3394" s="12" t="inlineStr"/>
      <c r="F3394" s="12" t="inlineStr">
        <is>
          <t>CCS F&amp;G / control</t>
        </is>
      </c>
      <c r="G3394" s="12" t="inlineStr">
        <is>
          <t>JB-CO2 compression 3 -AI07</t>
        </is>
      </c>
      <c r="H3394" s="12" t="inlineStr">
        <is>
          <t>CO2 compression 3 x ~19 MW + dehydration</t>
        </is>
      </c>
      <c r="I3394" s="12" t="inlineStr">
        <is>
          <t>Instrumentation</t>
        </is>
      </c>
      <c r="J3394" s="12" t="inlineStr">
        <is>
          <t>Instrumentation PLTC / TC-ER 300 V, #18 twisted shielded pairs, overall shield</t>
        </is>
      </c>
      <c r="K3394" s="12" t="inlineStr">
        <is>
          <t>PLTC|24 pr|18</t>
        </is>
      </c>
      <c r="L3394" s="12" t="inlineStr">
        <is>
          <t>24 pr</t>
        </is>
      </c>
      <c r="M3394" s="12" t="inlineStr">
        <is>
          <t>18</t>
        </is>
      </c>
      <c r="N3394" s="12" t="n">
        <v>1</v>
      </c>
      <c r="O3394" s="12" t="n">
        <v>1</v>
      </c>
      <c r="P3394" s="12" t="n"/>
      <c r="Q3394" s="12" t="n"/>
      <c r="R3394" s="12" t="n"/>
      <c r="S3394" s="12" t="inlineStr">
        <is>
          <t>Duct bank</t>
        </is>
      </c>
      <c r="T3394" s="15" t="n">
        <v>183</v>
      </c>
      <c r="U3394" s="15" t="n">
        <v>105</v>
      </c>
      <c r="V3394" s="15">
        <f>ROUNDUP((T3394+U3394+2*'Read Me'!$B$13)*(1+'Read Me'!$B$12),-1)</f>
        <v/>
      </c>
      <c r="W3394" s="15">
        <f>V3394*N3394*O3394</f>
        <v/>
      </c>
      <c r="X3394" s="12">
        <f>IF(LEFT(I3394,2)="MV",2*N3394*IF(L3394="1/C",O3394,1),0)</f>
        <v/>
      </c>
      <c r="Y3394" s="12">
        <f>IF(OR(LEFT(K3394,4)="LVAX",LEFT(K3394,6)="MV15AX",LEFT(K3394,4)="CTAX",LEFT(K3394,2)="W|"),2*N3394*O3394,0)</f>
        <v/>
      </c>
      <c r="Z3394" s="12" t="inlineStr"/>
      <c r="AA3394" s="12">
        <f>N3394*O3394</f>
        <v/>
      </c>
    </row>
    <row r="3395">
      <c r="A3395" s="12" t="inlineStr">
        <is>
          <t>G-I-0121</t>
        </is>
      </c>
      <c r="B3395" s="12" t="inlineStr">
        <is>
          <t>G</t>
        </is>
      </c>
      <c r="C3395" s="12" t="inlineStr">
        <is>
          <t>Carbon capture</t>
        </is>
      </c>
      <c r="D3395" s="12" t="inlineStr">
        <is>
          <t>Analog instrument to JB JB-CO2 compression 3 -AI08: 10 x 1 pr (field cables)</t>
        </is>
      </c>
      <c r="E3395" s="12" t="inlineStr"/>
      <c r="F3395" s="12" t="inlineStr">
        <is>
          <t>CO2 compression 3 x ~19 MW + dehydration</t>
        </is>
      </c>
      <c r="G3395" s="12" t="inlineStr">
        <is>
          <t>JB-CO2 compression 3 -AI08</t>
        </is>
      </c>
      <c r="H3395" s="12" t="inlineStr">
        <is>
          <t>CO2 compression 3 x ~19 MW + dehydration</t>
        </is>
      </c>
      <c r="I3395" s="12" t="inlineStr">
        <is>
          <t>Instrumentation</t>
        </is>
      </c>
      <c r="J3395" s="12" t="inlineStr">
        <is>
          <t>Instrumentation PLTC / TC-ER 300 V, #18 twisted shielded pairs, overall shield</t>
        </is>
      </c>
      <c r="K3395" s="12" t="inlineStr">
        <is>
          <t>PLTC|1 pr|16</t>
        </is>
      </c>
      <c r="L3395" s="12" t="inlineStr">
        <is>
          <t>1 pr</t>
        </is>
      </c>
      <c r="M3395" s="12" t="inlineStr">
        <is>
          <t>16</t>
        </is>
      </c>
      <c r="N3395" s="12" t="n">
        <v>10</v>
      </c>
      <c r="O3395" s="12" t="n">
        <v>1</v>
      </c>
      <c r="P3395" s="12" t="n"/>
      <c r="Q3395" s="12" t="n"/>
      <c r="R3395" s="12" t="n"/>
      <c r="S3395" s="12" t="inlineStr">
        <is>
          <t>Tray / conduit</t>
        </is>
      </c>
      <c r="T3395" s="15" t="n">
        <v>159</v>
      </c>
      <c r="U3395" s="15" t="n">
        <v>10</v>
      </c>
      <c r="V3395" s="15">
        <f>ROUNDUP((T3395+U3395+2*'Read Me'!$B$13)*(1+'Read Me'!$B$12),-1)</f>
        <v/>
      </c>
      <c r="W3395" s="15">
        <f>V3395*N3395*O3395</f>
        <v/>
      </c>
      <c r="X3395" s="12">
        <f>IF(LEFT(I3395,2)="MV",2*N3395*IF(L3395="1/C",O3395,1),0)</f>
        <v/>
      </c>
      <c r="Y3395" s="12">
        <f>IF(OR(LEFT(K3395,4)="LVAX",LEFT(K3395,6)="MV15AX",LEFT(K3395,4)="CTAX",LEFT(K3395,2)="W|"),2*N3395*O3395,0)</f>
        <v/>
      </c>
      <c r="Z3395" s="12" t="inlineStr">
        <is>
          <t>device-to-JB field wiring, one cable per device</t>
        </is>
      </c>
      <c r="AA3395" s="12">
        <f>N3395*O3395</f>
        <v/>
      </c>
    </row>
    <row r="3396">
      <c r="A3396" s="12" t="inlineStr">
        <is>
          <t>G-I-0122</t>
        </is>
      </c>
      <c r="B3396" s="12" t="inlineStr">
        <is>
          <t>G</t>
        </is>
      </c>
      <c r="C3396" s="12" t="inlineStr">
        <is>
          <t>Carbon capture</t>
        </is>
      </c>
      <c r="D3396" s="12" t="inlineStr">
        <is>
          <t>Home run JB-CO2 compression 3 -AI08 to the control / marshalling room</t>
        </is>
      </c>
      <c r="E3396" s="12" t="inlineStr"/>
      <c r="F3396" s="12" t="inlineStr">
        <is>
          <t>CCS F&amp;G / control</t>
        </is>
      </c>
      <c r="G3396" s="12" t="inlineStr">
        <is>
          <t>JB-CO2 compression 3 -AI08</t>
        </is>
      </c>
      <c r="H3396" s="12" t="inlineStr">
        <is>
          <t>CO2 compression 3 x ~19 MW + dehydration</t>
        </is>
      </c>
      <c r="I3396" s="12" t="inlineStr">
        <is>
          <t>Instrumentation</t>
        </is>
      </c>
      <c r="J3396" s="12" t="inlineStr">
        <is>
          <t>Instrumentation PLTC / TC-ER 300 V, #18 twisted shielded pairs, overall shield</t>
        </is>
      </c>
      <c r="K3396" s="12" t="inlineStr">
        <is>
          <t>PLTC|24 pr|18</t>
        </is>
      </c>
      <c r="L3396" s="12" t="inlineStr">
        <is>
          <t>24 pr</t>
        </is>
      </c>
      <c r="M3396" s="12" t="inlineStr">
        <is>
          <t>18</t>
        </is>
      </c>
      <c r="N3396" s="12" t="n">
        <v>1</v>
      </c>
      <c r="O3396" s="12" t="n">
        <v>1</v>
      </c>
      <c r="P3396" s="12" t="n"/>
      <c r="Q3396" s="12" t="n"/>
      <c r="R3396" s="12" t="n"/>
      <c r="S3396" s="12" t="inlineStr">
        <is>
          <t>Duct bank</t>
        </is>
      </c>
      <c r="T3396" s="15" t="n">
        <v>183</v>
      </c>
      <c r="U3396" s="15" t="n">
        <v>105</v>
      </c>
      <c r="V3396" s="15">
        <f>ROUNDUP((T3396+U3396+2*'Read Me'!$B$13)*(1+'Read Me'!$B$12),-1)</f>
        <v/>
      </c>
      <c r="W3396" s="15">
        <f>V3396*N3396*O3396</f>
        <v/>
      </c>
      <c r="X3396" s="12">
        <f>IF(LEFT(I3396,2)="MV",2*N3396*IF(L3396="1/C",O3396,1),0)</f>
        <v/>
      </c>
      <c r="Y3396" s="12">
        <f>IF(OR(LEFT(K3396,4)="LVAX",LEFT(K3396,6)="MV15AX",LEFT(K3396,4)="CTAX",LEFT(K3396,2)="W|"),2*N3396*O3396,0)</f>
        <v/>
      </c>
      <c r="Z3396" s="12" t="inlineStr"/>
      <c r="AA3396" s="12">
        <f>N3396*O3396</f>
        <v/>
      </c>
    </row>
    <row r="3397">
      <c r="A3397" s="12" t="inlineStr">
        <is>
          <t>G-I-0123</t>
        </is>
      </c>
      <c r="B3397" s="12" t="inlineStr">
        <is>
          <t>G</t>
        </is>
      </c>
      <c r="C3397" s="12" t="inlineStr">
        <is>
          <t>Carbon capture</t>
        </is>
      </c>
      <c r="D3397" s="12" t="inlineStr">
        <is>
          <t>Discrete device to JB JB-CO2 compression 3 -DI01: 20 x 1 pr (field cables)</t>
        </is>
      </c>
      <c r="E3397" s="12" t="inlineStr"/>
      <c r="F3397" s="12" t="inlineStr">
        <is>
          <t>CO2 compression 3 x ~19 MW + dehydration</t>
        </is>
      </c>
      <c r="G3397" s="12" t="inlineStr">
        <is>
          <t>JB-CO2 compression 3 -DI01</t>
        </is>
      </c>
      <c r="H3397" s="12" t="inlineStr">
        <is>
          <t>CO2 compression 3 x ~19 MW + dehydration</t>
        </is>
      </c>
      <c r="I3397" s="12" t="inlineStr">
        <is>
          <t>Instrumentation</t>
        </is>
      </c>
      <c r="J3397" s="12" t="inlineStr">
        <is>
          <t>Instrumentation PLTC / TC-ER 300 V, #18 twisted shielded pairs, overall shield</t>
        </is>
      </c>
      <c r="K3397" s="12" t="inlineStr">
        <is>
          <t>PLTC|1 pr|16</t>
        </is>
      </c>
      <c r="L3397" s="12" t="inlineStr">
        <is>
          <t>1 pr</t>
        </is>
      </c>
      <c r="M3397" s="12" t="inlineStr">
        <is>
          <t>16</t>
        </is>
      </c>
      <c r="N3397" s="12" t="n">
        <v>20</v>
      </c>
      <c r="O3397" s="12" t="n">
        <v>1</v>
      </c>
      <c r="P3397" s="12" t="n"/>
      <c r="Q3397" s="12" t="n"/>
      <c r="R3397" s="12" t="n"/>
      <c r="S3397" s="12" t="inlineStr">
        <is>
          <t>Tray / conduit</t>
        </is>
      </c>
      <c r="T3397" s="15" t="n">
        <v>159</v>
      </c>
      <c r="U3397" s="15" t="n">
        <v>10</v>
      </c>
      <c r="V3397" s="15">
        <f>ROUNDUP((T3397+U3397+2*'Read Me'!$B$13)*(1+'Read Me'!$B$12),-1)</f>
        <v/>
      </c>
      <c r="W3397" s="15">
        <f>V3397*N3397*O3397</f>
        <v/>
      </c>
      <c r="X3397" s="12">
        <f>IF(LEFT(I3397,2)="MV",2*N3397*IF(L3397="1/C",O3397,1),0)</f>
        <v/>
      </c>
      <c r="Y3397" s="12">
        <f>IF(OR(LEFT(K3397,4)="LVAX",LEFT(K3397,6)="MV15AX",LEFT(K3397,4)="CTAX",LEFT(K3397,2)="W|"),2*N3397*O3397,0)</f>
        <v/>
      </c>
      <c r="Z3397" s="12" t="inlineStr">
        <is>
          <t>device-to-JB field wiring, one cable per device</t>
        </is>
      </c>
      <c r="AA3397" s="12">
        <f>N3397*O3397</f>
        <v/>
      </c>
    </row>
    <row r="3398">
      <c r="A3398" s="12" t="inlineStr">
        <is>
          <t>G-I-0124</t>
        </is>
      </c>
      <c r="B3398" s="12" t="inlineStr">
        <is>
          <t>G</t>
        </is>
      </c>
      <c r="C3398" s="12" t="inlineStr">
        <is>
          <t>Carbon capture</t>
        </is>
      </c>
      <c r="D3398" s="12" t="inlineStr">
        <is>
          <t>Home run JB-CO2 compression 3 -DI01 to the control / marshalling room</t>
        </is>
      </c>
      <c r="E3398" s="12" t="inlineStr"/>
      <c r="F3398" s="12" t="inlineStr">
        <is>
          <t>CCS F&amp;G / control</t>
        </is>
      </c>
      <c r="G3398" s="12" t="inlineStr">
        <is>
          <t>JB-CO2 compression 3 -DI01</t>
        </is>
      </c>
      <c r="H3398" s="12" t="inlineStr">
        <is>
          <t>CO2 compression 3 x ~19 MW + dehydration</t>
        </is>
      </c>
      <c r="I3398" s="12" t="inlineStr">
        <is>
          <t>Instrumentation</t>
        </is>
      </c>
      <c r="J3398" s="12" t="inlineStr">
        <is>
          <t>Instrumentation PLTC / TC-ER 300 V, #18 twisted shielded pairs, overall shield</t>
        </is>
      </c>
      <c r="K3398" s="12" t="inlineStr">
        <is>
          <t>PLTC|24 pr|18</t>
        </is>
      </c>
      <c r="L3398" s="12" t="inlineStr">
        <is>
          <t>24 pr</t>
        </is>
      </c>
      <c r="M3398" s="12" t="inlineStr">
        <is>
          <t>18</t>
        </is>
      </c>
      <c r="N3398" s="12" t="n">
        <v>1</v>
      </c>
      <c r="O3398" s="12" t="n">
        <v>1</v>
      </c>
      <c r="P3398" s="12" t="n"/>
      <c r="Q3398" s="12" t="n"/>
      <c r="R3398" s="12" t="n"/>
      <c r="S3398" s="12" t="inlineStr">
        <is>
          <t>Duct bank</t>
        </is>
      </c>
      <c r="T3398" s="15" t="n">
        <v>183</v>
      </c>
      <c r="U3398" s="15" t="n">
        <v>105</v>
      </c>
      <c r="V3398" s="15">
        <f>ROUNDUP((T3398+U3398+2*'Read Me'!$B$13)*(1+'Read Me'!$B$12),-1)</f>
        <v/>
      </c>
      <c r="W3398" s="15">
        <f>V3398*N3398*O3398</f>
        <v/>
      </c>
      <c r="X3398" s="12">
        <f>IF(LEFT(I3398,2)="MV",2*N3398*IF(L3398="1/C",O3398,1),0)</f>
        <v/>
      </c>
      <c r="Y3398" s="12">
        <f>IF(OR(LEFT(K3398,4)="LVAX",LEFT(K3398,6)="MV15AX",LEFT(K3398,4)="CTAX",LEFT(K3398,2)="W|"),2*N3398*O3398,0)</f>
        <v/>
      </c>
      <c r="Z3398" s="12" t="inlineStr"/>
      <c r="AA3398" s="12">
        <f>N3398*O3398</f>
        <v/>
      </c>
    </row>
    <row r="3399">
      <c r="A3399" s="12" t="inlineStr">
        <is>
          <t>G-I-0125</t>
        </is>
      </c>
      <c r="B3399" s="12" t="inlineStr">
        <is>
          <t>G</t>
        </is>
      </c>
      <c r="C3399" s="12" t="inlineStr">
        <is>
          <t>Carbon capture</t>
        </is>
      </c>
      <c r="D3399" s="12" t="inlineStr">
        <is>
          <t>Discrete device to JB JB-CO2 compression 3 -DI02: 20 x 1 pr (field cables)</t>
        </is>
      </c>
      <c r="E3399" s="12" t="inlineStr"/>
      <c r="F3399" s="12" t="inlineStr">
        <is>
          <t>CO2 compression 3 x ~19 MW + dehydration</t>
        </is>
      </c>
      <c r="G3399" s="12" t="inlineStr">
        <is>
          <t>JB-CO2 compression 3 -DI02</t>
        </is>
      </c>
      <c r="H3399" s="12" t="inlineStr">
        <is>
          <t>CO2 compression 3 x ~19 MW + dehydration</t>
        </is>
      </c>
      <c r="I3399" s="12" t="inlineStr">
        <is>
          <t>Instrumentation</t>
        </is>
      </c>
      <c r="J3399" s="12" t="inlineStr">
        <is>
          <t>Instrumentation PLTC / TC-ER 300 V, #18 twisted shielded pairs, overall shield</t>
        </is>
      </c>
      <c r="K3399" s="12" t="inlineStr">
        <is>
          <t>PLTC|1 pr|16</t>
        </is>
      </c>
      <c r="L3399" s="12" t="inlineStr">
        <is>
          <t>1 pr</t>
        </is>
      </c>
      <c r="M3399" s="12" t="inlineStr">
        <is>
          <t>16</t>
        </is>
      </c>
      <c r="N3399" s="12" t="n">
        <v>20</v>
      </c>
      <c r="O3399" s="12" t="n">
        <v>1</v>
      </c>
      <c r="P3399" s="12" t="n"/>
      <c r="Q3399" s="12" t="n"/>
      <c r="R3399" s="12" t="n"/>
      <c r="S3399" s="12" t="inlineStr">
        <is>
          <t>Tray / conduit</t>
        </is>
      </c>
      <c r="T3399" s="15" t="n">
        <v>159</v>
      </c>
      <c r="U3399" s="15" t="n">
        <v>10</v>
      </c>
      <c r="V3399" s="15">
        <f>ROUNDUP((T3399+U3399+2*'Read Me'!$B$13)*(1+'Read Me'!$B$12),-1)</f>
        <v/>
      </c>
      <c r="W3399" s="15">
        <f>V3399*N3399*O3399</f>
        <v/>
      </c>
      <c r="X3399" s="12">
        <f>IF(LEFT(I3399,2)="MV",2*N3399*IF(L3399="1/C",O3399,1),0)</f>
        <v/>
      </c>
      <c r="Y3399" s="12">
        <f>IF(OR(LEFT(K3399,4)="LVAX",LEFT(K3399,6)="MV15AX",LEFT(K3399,4)="CTAX",LEFT(K3399,2)="W|"),2*N3399*O3399,0)</f>
        <v/>
      </c>
      <c r="Z3399" s="12" t="inlineStr">
        <is>
          <t>device-to-JB field wiring, one cable per device</t>
        </is>
      </c>
      <c r="AA3399" s="12">
        <f>N3399*O3399</f>
        <v/>
      </c>
    </row>
    <row r="3400">
      <c r="A3400" s="12" t="inlineStr">
        <is>
          <t>G-I-0126</t>
        </is>
      </c>
      <c r="B3400" s="12" t="inlineStr">
        <is>
          <t>G</t>
        </is>
      </c>
      <c r="C3400" s="12" t="inlineStr">
        <is>
          <t>Carbon capture</t>
        </is>
      </c>
      <c r="D3400" s="12" t="inlineStr">
        <is>
          <t>Home run JB-CO2 compression 3 -DI02 to the control / marshalling room</t>
        </is>
      </c>
      <c r="E3400" s="12" t="inlineStr"/>
      <c r="F3400" s="12" t="inlineStr">
        <is>
          <t>CCS F&amp;G / control</t>
        </is>
      </c>
      <c r="G3400" s="12" t="inlineStr">
        <is>
          <t>JB-CO2 compression 3 -DI02</t>
        </is>
      </c>
      <c r="H3400" s="12" t="inlineStr">
        <is>
          <t>CO2 compression 3 x ~19 MW + dehydration</t>
        </is>
      </c>
      <c r="I3400" s="12" t="inlineStr">
        <is>
          <t>Instrumentation</t>
        </is>
      </c>
      <c r="J3400" s="12" t="inlineStr">
        <is>
          <t>Instrumentation PLTC / TC-ER 300 V, #18 twisted shielded pairs, overall shield</t>
        </is>
      </c>
      <c r="K3400" s="12" t="inlineStr">
        <is>
          <t>PLTC|24 pr|18</t>
        </is>
      </c>
      <c r="L3400" s="12" t="inlineStr">
        <is>
          <t>24 pr</t>
        </is>
      </c>
      <c r="M3400" s="12" t="inlineStr">
        <is>
          <t>18</t>
        </is>
      </c>
      <c r="N3400" s="12" t="n">
        <v>1</v>
      </c>
      <c r="O3400" s="12" t="n">
        <v>1</v>
      </c>
      <c r="P3400" s="12" t="n"/>
      <c r="Q3400" s="12" t="n"/>
      <c r="R3400" s="12" t="n"/>
      <c r="S3400" s="12" t="inlineStr">
        <is>
          <t>Duct bank</t>
        </is>
      </c>
      <c r="T3400" s="15" t="n">
        <v>183</v>
      </c>
      <c r="U3400" s="15" t="n">
        <v>105</v>
      </c>
      <c r="V3400" s="15">
        <f>ROUNDUP((T3400+U3400+2*'Read Me'!$B$13)*(1+'Read Me'!$B$12),-1)</f>
        <v/>
      </c>
      <c r="W3400" s="15">
        <f>V3400*N3400*O3400</f>
        <v/>
      </c>
      <c r="X3400" s="12">
        <f>IF(LEFT(I3400,2)="MV",2*N3400*IF(L3400="1/C",O3400,1),0)</f>
        <v/>
      </c>
      <c r="Y3400" s="12">
        <f>IF(OR(LEFT(K3400,4)="LVAX",LEFT(K3400,6)="MV15AX",LEFT(K3400,4)="CTAX",LEFT(K3400,2)="W|"),2*N3400*O3400,0)</f>
        <v/>
      </c>
      <c r="Z3400" s="12" t="inlineStr"/>
      <c r="AA3400" s="12">
        <f>N3400*O3400</f>
        <v/>
      </c>
    </row>
    <row r="3401">
      <c r="A3401" s="12" t="inlineStr">
        <is>
          <t>G-I-0127</t>
        </is>
      </c>
      <c r="B3401" s="12" t="inlineStr">
        <is>
          <t>G</t>
        </is>
      </c>
      <c r="C3401" s="12" t="inlineStr">
        <is>
          <t>Carbon capture</t>
        </is>
      </c>
      <c r="D3401" s="12" t="inlineStr">
        <is>
          <t>Discrete device to JB JB-CO2 compression 3 -DI03: 20 x 1 pr (field cables)</t>
        </is>
      </c>
      <c r="E3401" s="12" t="inlineStr"/>
      <c r="F3401" s="12" t="inlineStr">
        <is>
          <t>CO2 compression 3 x ~19 MW + dehydration</t>
        </is>
      </c>
      <c r="G3401" s="12" t="inlineStr">
        <is>
          <t>JB-CO2 compression 3 -DI03</t>
        </is>
      </c>
      <c r="H3401" s="12" t="inlineStr">
        <is>
          <t>CO2 compression 3 x ~19 MW + dehydration</t>
        </is>
      </c>
      <c r="I3401" s="12" t="inlineStr">
        <is>
          <t>Instrumentation</t>
        </is>
      </c>
      <c r="J3401" s="12" t="inlineStr">
        <is>
          <t>Instrumentation PLTC / TC-ER 300 V, #18 twisted shielded pairs, overall shield</t>
        </is>
      </c>
      <c r="K3401" s="12" t="inlineStr">
        <is>
          <t>PLTC|1 pr|16</t>
        </is>
      </c>
      <c r="L3401" s="12" t="inlineStr">
        <is>
          <t>1 pr</t>
        </is>
      </c>
      <c r="M3401" s="12" t="inlineStr">
        <is>
          <t>16</t>
        </is>
      </c>
      <c r="N3401" s="12" t="n">
        <v>20</v>
      </c>
      <c r="O3401" s="12" t="n">
        <v>1</v>
      </c>
      <c r="P3401" s="12" t="n"/>
      <c r="Q3401" s="12" t="n"/>
      <c r="R3401" s="12" t="n"/>
      <c r="S3401" s="12" t="inlineStr">
        <is>
          <t>Tray / conduit</t>
        </is>
      </c>
      <c r="T3401" s="15" t="n">
        <v>159</v>
      </c>
      <c r="U3401" s="15" t="n">
        <v>10</v>
      </c>
      <c r="V3401" s="15">
        <f>ROUNDUP((T3401+U3401+2*'Read Me'!$B$13)*(1+'Read Me'!$B$12),-1)</f>
        <v/>
      </c>
      <c r="W3401" s="15">
        <f>V3401*N3401*O3401</f>
        <v/>
      </c>
      <c r="X3401" s="12">
        <f>IF(LEFT(I3401,2)="MV",2*N3401*IF(L3401="1/C",O3401,1),0)</f>
        <v/>
      </c>
      <c r="Y3401" s="12">
        <f>IF(OR(LEFT(K3401,4)="LVAX",LEFT(K3401,6)="MV15AX",LEFT(K3401,4)="CTAX",LEFT(K3401,2)="W|"),2*N3401*O3401,0)</f>
        <v/>
      </c>
      <c r="Z3401" s="12" t="inlineStr">
        <is>
          <t>device-to-JB field wiring, one cable per device</t>
        </is>
      </c>
      <c r="AA3401" s="12">
        <f>N3401*O3401</f>
        <v/>
      </c>
    </row>
    <row r="3402">
      <c r="A3402" s="12" t="inlineStr">
        <is>
          <t>G-I-0128</t>
        </is>
      </c>
      <c r="B3402" s="12" t="inlineStr">
        <is>
          <t>G</t>
        </is>
      </c>
      <c r="C3402" s="12" t="inlineStr">
        <is>
          <t>Carbon capture</t>
        </is>
      </c>
      <c r="D3402" s="12" t="inlineStr">
        <is>
          <t>Home run JB-CO2 compression 3 -DI03 to the control / marshalling room</t>
        </is>
      </c>
      <c r="E3402" s="12" t="inlineStr"/>
      <c r="F3402" s="12" t="inlineStr">
        <is>
          <t>CCS F&amp;G / control</t>
        </is>
      </c>
      <c r="G3402" s="12" t="inlineStr">
        <is>
          <t>JB-CO2 compression 3 -DI03</t>
        </is>
      </c>
      <c r="H3402" s="12" t="inlineStr">
        <is>
          <t>CO2 compression 3 x ~19 MW + dehydration</t>
        </is>
      </c>
      <c r="I3402" s="12" t="inlineStr">
        <is>
          <t>Instrumentation</t>
        </is>
      </c>
      <c r="J3402" s="12" t="inlineStr">
        <is>
          <t>Instrumentation PLTC / TC-ER 300 V, #18 twisted shielded pairs, overall shield</t>
        </is>
      </c>
      <c r="K3402" s="12" t="inlineStr">
        <is>
          <t>PLTC|24 pr|18</t>
        </is>
      </c>
      <c r="L3402" s="12" t="inlineStr">
        <is>
          <t>24 pr</t>
        </is>
      </c>
      <c r="M3402" s="12" t="inlineStr">
        <is>
          <t>18</t>
        </is>
      </c>
      <c r="N3402" s="12" t="n">
        <v>1</v>
      </c>
      <c r="O3402" s="12" t="n">
        <v>1</v>
      </c>
      <c r="P3402" s="12" t="n"/>
      <c r="Q3402" s="12" t="n"/>
      <c r="R3402" s="12" t="n"/>
      <c r="S3402" s="12" t="inlineStr">
        <is>
          <t>Duct bank</t>
        </is>
      </c>
      <c r="T3402" s="15" t="n">
        <v>183</v>
      </c>
      <c r="U3402" s="15" t="n">
        <v>105</v>
      </c>
      <c r="V3402" s="15">
        <f>ROUNDUP((T3402+U3402+2*'Read Me'!$B$13)*(1+'Read Me'!$B$12),-1)</f>
        <v/>
      </c>
      <c r="W3402" s="15">
        <f>V3402*N3402*O3402</f>
        <v/>
      </c>
      <c r="X3402" s="12">
        <f>IF(LEFT(I3402,2)="MV",2*N3402*IF(L3402="1/C",O3402,1),0)</f>
        <v/>
      </c>
      <c r="Y3402" s="12">
        <f>IF(OR(LEFT(K3402,4)="LVAX",LEFT(K3402,6)="MV15AX",LEFT(K3402,4)="CTAX",LEFT(K3402,2)="W|"),2*N3402*O3402,0)</f>
        <v/>
      </c>
      <c r="Z3402" s="12" t="inlineStr"/>
      <c r="AA3402" s="12">
        <f>N3402*O3402</f>
        <v/>
      </c>
    </row>
    <row r="3403">
      <c r="A3403" s="12" t="inlineStr">
        <is>
          <t>G-I-0129</t>
        </is>
      </c>
      <c r="B3403" s="12" t="inlineStr">
        <is>
          <t>G</t>
        </is>
      </c>
      <c r="C3403" s="12" t="inlineStr">
        <is>
          <t>Carbon capture</t>
        </is>
      </c>
      <c r="D3403" s="12" t="inlineStr">
        <is>
          <t>Discrete device to JB JB-CO2 compression 3 -DI04: 20 x 1 pr (field cables)</t>
        </is>
      </c>
      <c r="E3403" s="12" t="inlineStr"/>
      <c r="F3403" s="12" t="inlineStr">
        <is>
          <t>CO2 compression 3 x ~19 MW + dehydration</t>
        </is>
      </c>
      <c r="G3403" s="12" t="inlineStr">
        <is>
          <t>JB-CO2 compression 3 -DI04</t>
        </is>
      </c>
      <c r="H3403" s="12" t="inlineStr">
        <is>
          <t>CO2 compression 3 x ~19 MW + dehydration</t>
        </is>
      </c>
      <c r="I3403" s="12" t="inlineStr">
        <is>
          <t>Instrumentation</t>
        </is>
      </c>
      <c r="J3403" s="12" t="inlineStr">
        <is>
          <t>Instrumentation PLTC / TC-ER 300 V, #18 twisted shielded pairs, overall shield</t>
        </is>
      </c>
      <c r="K3403" s="12" t="inlineStr">
        <is>
          <t>PLTC|1 pr|16</t>
        </is>
      </c>
      <c r="L3403" s="12" t="inlineStr">
        <is>
          <t>1 pr</t>
        </is>
      </c>
      <c r="M3403" s="12" t="inlineStr">
        <is>
          <t>16</t>
        </is>
      </c>
      <c r="N3403" s="12" t="n">
        <v>20</v>
      </c>
      <c r="O3403" s="12" t="n">
        <v>1</v>
      </c>
      <c r="P3403" s="12" t="n"/>
      <c r="Q3403" s="12" t="n"/>
      <c r="R3403" s="12" t="n"/>
      <c r="S3403" s="12" t="inlineStr">
        <is>
          <t>Tray / conduit</t>
        </is>
      </c>
      <c r="T3403" s="15" t="n">
        <v>159</v>
      </c>
      <c r="U3403" s="15" t="n">
        <v>10</v>
      </c>
      <c r="V3403" s="15">
        <f>ROUNDUP((T3403+U3403+2*'Read Me'!$B$13)*(1+'Read Me'!$B$12),-1)</f>
        <v/>
      </c>
      <c r="W3403" s="15">
        <f>V3403*N3403*O3403</f>
        <v/>
      </c>
      <c r="X3403" s="12">
        <f>IF(LEFT(I3403,2)="MV",2*N3403*IF(L3403="1/C",O3403,1),0)</f>
        <v/>
      </c>
      <c r="Y3403" s="12">
        <f>IF(OR(LEFT(K3403,4)="LVAX",LEFT(K3403,6)="MV15AX",LEFT(K3403,4)="CTAX",LEFT(K3403,2)="W|"),2*N3403*O3403,0)</f>
        <v/>
      </c>
      <c r="Z3403" s="12" t="inlineStr">
        <is>
          <t>device-to-JB field wiring, one cable per device</t>
        </is>
      </c>
      <c r="AA3403" s="12">
        <f>N3403*O3403</f>
        <v/>
      </c>
    </row>
    <row r="3404">
      <c r="A3404" s="12" t="inlineStr">
        <is>
          <t>G-I-0130</t>
        </is>
      </c>
      <c r="B3404" s="12" t="inlineStr">
        <is>
          <t>G</t>
        </is>
      </c>
      <c r="C3404" s="12" t="inlineStr">
        <is>
          <t>Carbon capture</t>
        </is>
      </c>
      <c r="D3404" s="12" t="inlineStr">
        <is>
          <t>Home run JB-CO2 compression 3 -DI04 to the control / marshalling room</t>
        </is>
      </c>
      <c r="E3404" s="12" t="inlineStr"/>
      <c r="F3404" s="12" t="inlineStr">
        <is>
          <t>CCS F&amp;G / control</t>
        </is>
      </c>
      <c r="G3404" s="12" t="inlineStr">
        <is>
          <t>JB-CO2 compression 3 -DI04</t>
        </is>
      </c>
      <c r="H3404" s="12" t="inlineStr">
        <is>
          <t>CO2 compression 3 x ~19 MW + dehydration</t>
        </is>
      </c>
      <c r="I3404" s="12" t="inlineStr">
        <is>
          <t>Instrumentation</t>
        </is>
      </c>
      <c r="J3404" s="12" t="inlineStr">
        <is>
          <t>Instrumentation PLTC / TC-ER 300 V, #18 twisted shielded pairs, overall shield</t>
        </is>
      </c>
      <c r="K3404" s="12" t="inlineStr">
        <is>
          <t>PLTC|24 pr|18</t>
        </is>
      </c>
      <c r="L3404" s="12" t="inlineStr">
        <is>
          <t>24 pr</t>
        </is>
      </c>
      <c r="M3404" s="12" t="inlineStr">
        <is>
          <t>18</t>
        </is>
      </c>
      <c r="N3404" s="12" t="n">
        <v>1</v>
      </c>
      <c r="O3404" s="12" t="n">
        <v>1</v>
      </c>
      <c r="P3404" s="12" t="n"/>
      <c r="Q3404" s="12" t="n"/>
      <c r="R3404" s="12" t="n"/>
      <c r="S3404" s="12" t="inlineStr">
        <is>
          <t>Duct bank</t>
        </is>
      </c>
      <c r="T3404" s="15" t="n">
        <v>183</v>
      </c>
      <c r="U3404" s="15" t="n">
        <v>105</v>
      </c>
      <c r="V3404" s="15">
        <f>ROUNDUP((T3404+U3404+2*'Read Me'!$B$13)*(1+'Read Me'!$B$12),-1)</f>
        <v/>
      </c>
      <c r="W3404" s="15">
        <f>V3404*N3404*O3404</f>
        <v/>
      </c>
      <c r="X3404" s="12">
        <f>IF(LEFT(I3404,2)="MV",2*N3404*IF(L3404="1/C",O3404,1),0)</f>
        <v/>
      </c>
      <c r="Y3404" s="12">
        <f>IF(OR(LEFT(K3404,4)="LVAX",LEFT(K3404,6)="MV15AX",LEFT(K3404,4)="CTAX",LEFT(K3404,2)="W|"),2*N3404*O3404,0)</f>
        <v/>
      </c>
      <c r="Z3404" s="12" t="inlineStr"/>
      <c r="AA3404" s="12">
        <f>N3404*O3404</f>
        <v/>
      </c>
    </row>
    <row r="3405">
      <c r="A3405" s="12" t="inlineStr">
        <is>
          <t>G-I-0131</t>
        </is>
      </c>
      <c r="B3405" s="12" t="inlineStr">
        <is>
          <t>G</t>
        </is>
      </c>
      <c r="C3405" s="12" t="inlineStr">
        <is>
          <t>Carbon capture</t>
        </is>
      </c>
      <c r="D3405" s="12" t="inlineStr">
        <is>
          <t>Discrete device to JB JB-CO2 compression 3 -DI05: 20 x 1 pr (field cables)</t>
        </is>
      </c>
      <c r="E3405" s="12" t="inlineStr"/>
      <c r="F3405" s="12" t="inlineStr">
        <is>
          <t>CO2 compression 3 x ~19 MW + dehydration</t>
        </is>
      </c>
      <c r="G3405" s="12" t="inlineStr">
        <is>
          <t>JB-CO2 compression 3 -DI05</t>
        </is>
      </c>
      <c r="H3405" s="12" t="inlineStr">
        <is>
          <t>CO2 compression 3 x ~19 MW + dehydration</t>
        </is>
      </c>
      <c r="I3405" s="12" t="inlineStr">
        <is>
          <t>Instrumentation</t>
        </is>
      </c>
      <c r="J3405" s="12" t="inlineStr">
        <is>
          <t>Instrumentation PLTC / TC-ER 300 V, #18 twisted shielded pairs, overall shield</t>
        </is>
      </c>
      <c r="K3405" s="12" t="inlineStr">
        <is>
          <t>PLTC|1 pr|16</t>
        </is>
      </c>
      <c r="L3405" s="12" t="inlineStr">
        <is>
          <t>1 pr</t>
        </is>
      </c>
      <c r="M3405" s="12" t="inlineStr">
        <is>
          <t>16</t>
        </is>
      </c>
      <c r="N3405" s="12" t="n">
        <v>20</v>
      </c>
      <c r="O3405" s="12" t="n">
        <v>1</v>
      </c>
      <c r="P3405" s="12" t="n"/>
      <c r="Q3405" s="12" t="n"/>
      <c r="R3405" s="12" t="n"/>
      <c r="S3405" s="12" t="inlineStr">
        <is>
          <t>Tray / conduit</t>
        </is>
      </c>
      <c r="T3405" s="15" t="n">
        <v>159</v>
      </c>
      <c r="U3405" s="15" t="n">
        <v>10</v>
      </c>
      <c r="V3405" s="15">
        <f>ROUNDUP((T3405+U3405+2*'Read Me'!$B$13)*(1+'Read Me'!$B$12),-1)</f>
        <v/>
      </c>
      <c r="W3405" s="15">
        <f>V3405*N3405*O3405</f>
        <v/>
      </c>
      <c r="X3405" s="12">
        <f>IF(LEFT(I3405,2)="MV",2*N3405*IF(L3405="1/C",O3405,1),0)</f>
        <v/>
      </c>
      <c r="Y3405" s="12">
        <f>IF(OR(LEFT(K3405,4)="LVAX",LEFT(K3405,6)="MV15AX",LEFT(K3405,4)="CTAX",LEFT(K3405,2)="W|"),2*N3405*O3405,0)</f>
        <v/>
      </c>
      <c r="Z3405" s="12" t="inlineStr">
        <is>
          <t>device-to-JB field wiring, one cable per device</t>
        </is>
      </c>
      <c r="AA3405" s="12">
        <f>N3405*O3405</f>
        <v/>
      </c>
    </row>
    <row r="3406">
      <c r="A3406" s="12" t="inlineStr">
        <is>
          <t>G-I-0132</t>
        </is>
      </c>
      <c r="B3406" s="12" t="inlineStr">
        <is>
          <t>G</t>
        </is>
      </c>
      <c r="C3406" s="12" t="inlineStr">
        <is>
          <t>Carbon capture</t>
        </is>
      </c>
      <c r="D3406" s="12" t="inlineStr">
        <is>
          <t>Home run JB-CO2 compression 3 -DI05 to the control / marshalling room</t>
        </is>
      </c>
      <c r="E3406" s="12" t="inlineStr"/>
      <c r="F3406" s="12" t="inlineStr">
        <is>
          <t>CCS F&amp;G / control</t>
        </is>
      </c>
      <c r="G3406" s="12" t="inlineStr">
        <is>
          <t>JB-CO2 compression 3 -DI05</t>
        </is>
      </c>
      <c r="H3406" s="12" t="inlineStr">
        <is>
          <t>CO2 compression 3 x ~19 MW + dehydration</t>
        </is>
      </c>
      <c r="I3406" s="12" t="inlineStr">
        <is>
          <t>Instrumentation</t>
        </is>
      </c>
      <c r="J3406" s="12" t="inlineStr">
        <is>
          <t>Instrumentation PLTC / TC-ER 300 V, #18 twisted shielded pairs, overall shield</t>
        </is>
      </c>
      <c r="K3406" s="12" t="inlineStr">
        <is>
          <t>PLTC|24 pr|18</t>
        </is>
      </c>
      <c r="L3406" s="12" t="inlineStr">
        <is>
          <t>24 pr</t>
        </is>
      </c>
      <c r="M3406" s="12" t="inlineStr">
        <is>
          <t>18</t>
        </is>
      </c>
      <c r="N3406" s="12" t="n">
        <v>1</v>
      </c>
      <c r="O3406" s="12" t="n">
        <v>1</v>
      </c>
      <c r="P3406" s="12" t="n"/>
      <c r="Q3406" s="12" t="n"/>
      <c r="R3406" s="12" t="n"/>
      <c r="S3406" s="12" t="inlineStr">
        <is>
          <t>Duct bank</t>
        </is>
      </c>
      <c r="T3406" s="15" t="n">
        <v>183</v>
      </c>
      <c r="U3406" s="15" t="n">
        <v>105</v>
      </c>
      <c r="V3406" s="15">
        <f>ROUNDUP((T3406+U3406+2*'Read Me'!$B$13)*(1+'Read Me'!$B$12),-1)</f>
        <v/>
      </c>
      <c r="W3406" s="15">
        <f>V3406*N3406*O3406</f>
        <v/>
      </c>
      <c r="X3406" s="12">
        <f>IF(LEFT(I3406,2)="MV",2*N3406*IF(L3406="1/C",O3406,1),0)</f>
        <v/>
      </c>
      <c r="Y3406" s="12">
        <f>IF(OR(LEFT(K3406,4)="LVAX",LEFT(K3406,6)="MV15AX",LEFT(K3406,4)="CTAX",LEFT(K3406,2)="W|"),2*N3406*O3406,0)</f>
        <v/>
      </c>
      <c r="Z3406" s="12" t="inlineStr"/>
      <c r="AA3406" s="12">
        <f>N3406*O3406</f>
        <v/>
      </c>
    </row>
    <row r="3407">
      <c r="A3407" s="12" t="inlineStr">
        <is>
          <t>G-I-0133</t>
        </is>
      </c>
      <c r="B3407" s="12" t="inlineStr">
        <is>
          <t>G</t>
        </is>
      </c>
      <c r="C3407" s="12" t="inlineStr">
        <is>
          <t>Carbon capture</t>
        </is>
      </c>
      <c r="D3407" s="12" t="inlineStr">
        <is>
          <t>RTD to JB JB-CO2 compression 3 -RTD01: 10 x 1 tri (field cables)</t>
        </is>
      </c>
      <c r="E3407" s="12" t="inlineStr"/>
      <c r="F3407" s="12" t="inlineStr">
        <is>
          <t>CO2 compression 3 x ~19 MW + dehydration</t>
        </is>
      </c>
      <c r="G3407" s="12" t="inlineStr">
        <is>
          <t>JB-CO2 compression 3 -RTD01</t>
        </is>
      </c>
      <c r="H3407" s="12" t="inlineStr">
        <is>
          <t>CO2 compression 3 x ~19 MW + dehydration</t>
        </is>
      </c>
      <c r="I3407" s="12" t="inlineStr">
        <is>
          <t>Instrumentation</t>
        </is>
      </c>
      <c r="J3407" s="12" t="inlineStr">
        <is>
          <t>RTD cable, #18 shielded triads, PLTC</t>
        </is>
      </c>
      <c r="K3407" s="12" t="inlineStr">
        <is>
          <t>RTD|1 tri|18</t>
        </is>
      </c>
      <c r="L3407" s="12" t="inlineStr">
        <is>
          <t>1 tri</t>
        </is>
      </c>
      <c r="M3407" s="12" t="inlineStr">
        <is>
          <t>18</t>
        </is>
      </c>
      <c r="N3407" s="12" t="n">
        <v>10</v>
      </c>
      <c r="O3407" s="12" t="n">
        <v>1</v>
      </c>
      <c r="P3407" s="12" t="n"/>
      <c r="Q3407" s="12" t="n"/>
      <c r="R3407" s="12" t="n"/>
      <c r="S3407" s="12" t="inlineStr">
        <is>
          <t>Tray / conduit</t>
        </is>
      </c>
      <c r="T3407" s="15" t="n">
        <v>159</v>
      </c>
      <c r="U3407" s="15" t="n">
        <v>10</v>
      </c>
      <c r="V3407" s="15">
        <f>ROUNDUP((T3407+U3407+2*'Read Me'!$B$13)*(1+'Read Me'!$B$12),-1)</f>
        <v/>
      </c>
      <c r="W3407" s="15">
        <f>V3407*N3407*O3407</f>
        <v/>
      </c>
      <c r="X3407" s="12">
        <f>IF(LEFT(I3407,2)="MV",2*N3407*IF(L3407="1/C",O3407,1),0)</f>
        <v/>
      </c>
      <c r="Y3407" s="12">
        <f>IF(OR(LEFT(K3407,4)="LVAX",LEFT(K3407,6)="MV15AX",LEFT(K3407,4)="CTAX",LEFT(K3407,2)="W|"),2*N3407*O3407,0)</f>
        <v/>
      </c>
      <c r="Z3407" s="12" t="inlineStr">
        <is>
          <t>device-to-JB field wiring, one cable per device</t>
        </is>
      </c>
      <c r="AA3407" s="12">
        <f>N3407*O3407</f>
        <v/>
      </c>
    </row>
    <row r="3408">
      <c r="A3408" s="12" t="inlineStr">
        <is>
          <t>G-I-0134</t>
        </is>
      </c>
      <c r="B3408" s="12" t="inlineStr">
        <is>
          <t>G</t>
        </is>
      </c>
      <c r="C3408" s="12" t="inlineStr">
        <is>
          <t>Carbon capture</t>
        </is>
      </c>
      <c r="D3408" s="12" t="inlineStr">
        <is>
          <t>Home run JB-CO2 compression 3 -RTD01 to the control / marshalling room</t>
        </is>
      </c>
      <c r="E3408" s="12" t="inlineStr"/>
      <c r="F3408" s="12" t="inlineStr">
        <is>
          <t>CCS F&amp;G / control</t>
        </is>
      </c>
      <c r="G3408" s="12" t="inlineStr">
        <is>
          <t>JB-CO2 compression 3 -RTD01</t>
        </is>
      </c>
      <c r="H3408" s="12" t="inlineStr">
        <is>
          <t>CO2 compression 3 x ~19 MW + dehydration</t>
        </is>
      </c>
      <c r="I3408" s="12" t="inlineStr">
        <is>
          <t>Instrumentation</t>
        </is>
      </c>
      <c r="J3408" s="12" t="inlineStr">
        <is>
          <t>RTD cable, #18 shielded triads, PLTC</t>
        </is>
      </c>
      <c r="K3408" s="12" t="inlineStr">
        <is>
          <t>RTD|12 tri|18</t>
        </is>
      </c>
      <c r="L3408" s="12" t="inlineStr">
        <is>
          <t>12 tri</t>
        </is>
      </c>
      <c r="M3408" s="12" t="inlineStr">
        <is>
          <t>18</t>
        </is>
      </c>
      <c r="N3408" s="12" t="n">
        <v>1</v>
      </c>
      <c r="O3408" s="12" t="n">
        <v>1</v>
      </c>
      <c r="P3408" s="12" t="n"/>
      <c r="Q3408" s="12" t="n"/>
      <c r="R3408" s="12" t="n"/>
      <c r="S3408" s="12" t="inlineStr">
        <is>
          <t>Duct bank</t>
        </is>
      </c>
      <c r="T3408" s="15" t="n">
        <v>183</v>
      </c>
      <c r="U3408" s="15" t="n">
        <v>105</v>
      </c>
      <c r="V3408" s="15">
        <f>ROUNDUP((T3408+U3408+2*'Read Me'!$B$13)*(1+'Read Me'!$B$12),-1)</f>
        <v/>
      </c>
      <c r="W3408" s="15">
        <f>V3408*N3408*O3408</f>
        <v/>
      </c>
      <c r="X3408" s="12">
        <f>IF(LEFT(I3408,2)="MV",2*N3408*IF(L3408="1/C",O3408,1),0)</f>
        <v/>
      </c>
      <c r="Y3408" s="12">
        <f>IF(OR(LEFT(K3408,4)="LVAX",LEFT(K3408,6)="MV15AX",LEFT(K3408,4)="CTAX",LEFT(K3408,2)="W|"),2*N3408*O3408,0)</f>
        <v/>
      </c>
      <c r="Z3408" s="12" t="inlineStr"/>
      <c r="AA3408" s="12">
        <f>N3408*O3408</f>
        <v/>
      </c>
    </row>
    <row r="3409">
      <c r="A3409" s="12" t="inlineStr">
        <is>
          <t>G-I-0135</t>
        </is>
      </c>
      <c r="B3409" s="12" t="inlineStr">
        <is>
          <t>G</t>
        </is>
      </c>
      <c r="C3409" s="12" t="inlineStr">
        <is>
          <t>Carbon capture</t>
        </is>
      </c>
      <c r="D3409" s="12" t="inlineStr">
        <is>
          <t>RTD to JB JB-CO2 compression 3 -RTD02: 10 x 1 tri (field cables)</t>
        </is>
      </c>
      <c r="E3409" s="12" t="inlineStr"/>
      <c r="F3409" s="12" t="inlineStr">
        <is>
          <t>CO2 compression 3 x ~19 MW + dehydration</t>
        </is>
      </c>
      <c r="G3409" s="12" t="inlineStr">
        <is>
          <t>JB-CO2 compression 3 -RTD02</t>
        </is>
      </c>
      <c r="H3409" s="12" t="inlineStr">
        <is>
          <t>CO2 compression 3 x ~19 MW + dehydration</t>
        </is>
      </c>
      <c r="I3409" s="12" t="inlineStr">
        <is>
          <t>Instrumentation</t>
        </is>
      </c>
      <c r="J3409" s="12" t="inlineStr">
        <is>
          <t>RTD cable, #18 shielded triads, PLTC</t>
        </is>
      </c>
      <c r="K3409" s="12" t="inlineStr">
        <is>
          <t>RTD|1 tri|18</t>
        </is>
      </c>
      <c r="L3409" s="12" t="inlineStr">
        <is>
          <t>1 tri</t>
        </is>
      </c>
      <c r="M3409" s="12" t="inlineStr">
        <is>
          <t>18</t>
        </is>
      </c>
      <c r="N3409" s="12" t="n">
        <v>10</v>
      </c>
      <c r="O3409" s="12" t="n">
        <v>1</v>
      </c>
      <c r="P3409" s="12" t="n"/>
      <c r="Q3409" s="12" t="n"/>
      <c r="R3409" s="12" t="n"/>
      <c r="S3409" s="12" t="inlineStr">
        <is>
          <t>Tray / conduit</t>
        </is>
      </c>
      <c r="T3409" s="15" t="n">
        <v>159</v>
      </c>
      <c r="U3409" s="15" t="n">
        <v>10</v>
      </c>
      <c r="V3409" s="15">
        <f>ROUNDUP((T3409+U3409+2*'Read Me'!$B$13)*(1+'Read Me'!$B$12),-1)</f>
        <v/>
      </c>
      <c r="W3409" s="15">
        <f>V3409*N3409*O3409</f>
        <v/>
      </c>
      <c r="X3409" s="12">
        <f>IF(LEFT(I3409,2)="MV",2*N3409*IF(L3409="1/C",O3409,1),0)</f>
        <v/>
      </c>
      <c r="Y3409" s="12">
        <f>IF(OR(LEFT(K3409,4)="LVAX",LEFT(K3409,6)="MV15AX",LEFT(K3409,4)="CTAX",LEFT(K3409,2)="W|"),2*N3409*O3409,0)</f>
        <v/>
      </c>
      <c r="Z3409" s="12" t="inlineStr">
        <is>
          <t>device-to-JB field wiring, one cable per device</t>
        </is>
      </c>
      <c r="AA3409" s="12">
        <f>N3409*O3409</f>
        <v/>
      </c>
    </row>
    <row r="3410">
      <c r="A3410" s="12" t="inlineStr">
        <is>
          <t>G-I-0136</t>
        </is>
      </c>
      <c r="B3410" s="12" t="inlineStr">
        <is>
          <t>G</t>
        </is>
      </c>
      <c r="C3410" s="12" t="inlineStr">
        <is>
          <t>Carbon capture</t>
        </is>
      </c>
      <c r="D3410" s="12" t="inlineStr">
        <is>
          <t>Home run JB-CO2 compression 3 -RTD02 to the control / marshalling room</t>
        </is>
      </c>
      <c r="E3410" s="12" t="inlineStr"/>
      <c r="F3410" s="12" t="inlineStr">
        <is>
          <t>CCS F&amp;G / control</t>
        </is>
      </c>
      <c r="G3410" s="12" t="inlineStr">
        <is>
          <t>JB-CO2 compression 3 -RTD02</t>
        </is>
      </c>
      <c r="H3410" s="12" t="inlineStr">
        <is>
          <t>CO2 compression 3 x ~19 MW + dehydration</t>
        </is>
      </c>
      <c r="I3410" s="12" t="inlineStr">
        <is>
          <t>Instrumentation</t>
        </is>
      </c>
      <c r="J3410" s="12" t="inlineStr">
        <is>
          <t>RTD cable, #18 shielded triads, PLTC</t>
        </is>
      </c>
      <c r="K3410" s="12" t="inlineStr">
        <is>
          <t>RTD|12 tri|18</t>
        </is>
      </c>
      <c r="L3410" s="12" t="inlineStr">
        <is>
          <t>12 tri</t>
        </is>
      </c>
      <c r="M3410" s="12" t="inlineStr">
        <is>
          <t>18</t>
        </is>
      </c>
      <c r="N3410" s="12" t="n">
        <v>1</v>
      </c>
      <c r="O3410" s="12" t="n">
        <v>1</v>
      </c>
      <c r="P3410" s="12" t="n"/>
      <c r="Q3410" s="12" t="n"/>
      <c r="R3410" s="12" t="n"/>
      <c r="S3410" s="12" t="inlineStr">
        <is>
          <t>Duct bank</t>
        </is>
      </c>
      <c r="T3410" s="15" t="n">
        <v>183</v>
      </c>
      <c r="U3410" s="15" t="n">
        <v>105</v>
      </c>
      <c r="V3410" s="15">
        <f>ROUNDUP((T3410+U3410+2*'Read Me'!$B$13)*(1+'Read Me'!$B$12),-1)</f>
        <v/>
      </c>
      <c r="W3410" s="15">
        <f>V3410*N3410*O3410</f>
        <v/>
      </c>
      <c r="X3410" s="12">
        <f>IF(LEFT(I3410,2)="MV",2*N3410*IF(L3410="1/C",O3410,1),0)</f>
        <v/>
      </c>
      <c r="Y3410" s="12">
        <f>IF(OR(LEFT(K3410,4)="LVAX",LEFT(K3410,6)="MV15AX",LEFT(K3410,4)="CTAX",LEFT(K3410,2)="W|"),2*N3410*O3410,0)</f>
        <v/>
      </c>
      <c r="Z3410" s="12" t="inlineStr"/>
      <c r="AA3410" s="12">
        <f>N3410*O3410</f>
        <v/>
      </c>
    </row>
    <row r="3411">
      <c r="A3411" s="12" t="inlineStr">
        <is>
          <t>G-I-0137</t>
        </is>
      </c>
      <c r="B3411" s="12" t="inlineStr">
        <is>
          <t>G</t>
        </is>
      </c>
      <c r="C3411" s="12" t="inlineStr">
        <is>
          <t>Carbon capture</t>
        </is>
      </c>
      <c r="D3411" s="12" t="inlineStr">
        <is>
          <t>RTD to JB JB-CO2 compression 3 -RTD03: 10 x 1 tri (field cables)</t>
        </is>
      </c>
      <c r="E3411" s="12" t="inlineStr"/>
      <c r="F3411" s="12" t="inlineStr">
        <is>
          <t>CO2 compression 3 x ~19 MW + dehydration</t>
        </is>
      </c>
      <c r="G3411" s="12" t="inlineStr">
        <is>
          <t>JB-CO2 compression 3 -RTD03</t>
        </is>
      </c>
      <c r="H3411" s="12" t="inlineStr">
        <is>
          <t>CO2 compression 3 x ~19 MW + dehydration</t>
        </is>
      </c>
      <c r="I3411" s="12" t="inlineStr">
        <is>
          <t>Instrumentation</t>
        </is>
      </c>
      <c r="J3411" s="12" t="inlineStr">
        <is>
          <t>RTD cable, #18 shielded triads, PLTC</t>
        </is>
      </c>
      <c r="K3411" s="12" t="inlineStr">
        <is>
          <t>RTD|1 tri|18</t>
        </is>
      </c>
      <c r="L3411" s="12" t="inlineStr">
        <is>
          <t>1 tri</t>
        </is>
      </c>
      <c r="M3411" s="12" t="inlineStr">
        <is>
          <t>18</t>
        </is>
      </c>
      <c r="N3411" s="12" t="n">
        <v>10</v>
      </c>
      <c r="O3411" s="12" t="n">
        <v>1</v>
      </c>
      <c r="P3411" s="12" t="n"/>
      <c r="Q3411" s="12" t="n"/>
      <c r="R3411" s="12" t="n"/>
      <c r="S3411" s="12" t="inlineStr">
        <is>
          <t>Tray / conduit</t>
        </is>
      </c>
      <c r="T3411" s="15" t="n">
        <v>159</v>
      </c>
      <c r="U3411" s="15" t="n">
        <v>10</v>
      </c>
      <c r="V3411" s="15">
        <f>ROUNDUP((T3411+U3411+2*'Read Me'!$B$13)*(1+'Read Me'!$B$12),-1)</f>
        <v/>
      </c>
      <c r="W3411" s="15">
        <f>V3411*N3411*O3411</f>
        <v/>
      </c>
      <c r="X3411" s="12">
        <f>IF(LEFT(I3411,2)="MV",2*N3411*IF(L3411="1/C",O3411,1),0)</f>
        <v/>
      </c>
      <c r="Y3411" s="12">
        <f>IF(OR(LEFT(K3411,4)="LVAX",LEFT(K3411,6)="MV15AX",LEFT(K3411,4)="CTAX",LEFT(K3411,2)="W|"),2*N3411*O3411,0)</f>
        <v/>
      </c>
      <c r="Z3411" s="12" t="inlineStr">
        <is>
          <t>device-to-JB field wiring, one cable per device</t>
        </is>
      </c>
      <c r="AA3411" s="12">
        <f>N3411*O3411</f>
        <v/>
      </c>
    </row>
    <row r="3412">
      <c r="A3412" s="12" t="inlineStr">
        <is>
          <t>G-I-0138</t>
        </is>
      </c>
      <c r="B3412" s="12" t="inlineStr">
        <is>
          <t>G</t>
        </is>
      </c>
      <c r="C3412" s="12" t="inlineStr">
        <is>
          <t>Carbon capture</t>
        </is>
      </c>
      <c r="D3412" s="12" t="inlineStr">
        <is>
          <t>Home run JB-CO2 compression 3 -RTD03 to the control / marshalling room</t>
        </is>
      </c>
      <c r="E3412" s="12" t="inlineStr"/>
      <c r="F3412" s="12" t="inlineStr">
        <is>
          <t>CCS F&amp;G / control</t>
        </is>
      </c>
      <c r="G3412" s="12" t="inlineStr">
        <is>
          <t>JB-CO2 compression 3 -RTD03</t>
        </is>
      </c>
      <c r="H3412" s="12" t="inlineStr">
        <is>
          <t>CO2 compression 3 x ~19 MW + dehydration</t>
        </is>
      </c>
      <c r="I3412" s="12" t="inlineStr">
        <is>
          <t>Instrumentation</t>
        </is>
      </c>
      <c r="J3412" s="12" t="inlineStr">
        <is>
          <t>RTD cable, #18 shielded triads, PLTC</t>
        </is>
      </c>
      <c r="K3412" s="12" t="inlineStr">
        <is>
          <t>RTD|12 tri|18</t>
        </is>
      </c>
      <c r="L3412" s="12" t="inlineStr">
        <is>
          <t>12 tri</t>
        </is>
      </c>
      <c r="M3412" s="12" t="inlineStr">
        <is>
          <t>18</t>
        </is>
      </c>
      <c r="N3412" s="12" t="n">
        <v>1</v>
      </c>
      <c r="O3412" s="12" t="n">
        <v>1</v>
      </c>
      <c r="P3412" s="12" t="n"/>
      <c r="Q3412" s="12" t="n"/>
      <c r="R3412" s="12" t="n"/>
      <c r="S3412" s="12" t="inlineStr">
        <is>
          <t>Duct bank</t>
        </is>
      </c>
      <c r="T3412" s="15" t="n">
        <v>183</v>
      </c>
      <c r="U3412" s="15" t="n">
        <v>105</v>
      </c>
      <c r="V3412" s="15">
        <f>ROUNDUP((T3412+U3412+2*'Read Me'!$B$13)*(1+'Read Me'!$B$12),-1)</f>
        <v/>
      </c>
      <c r="W3412" s="15">
        <f>V3412*N3412*O3412</f>
        <v/>
      </c>
      <c r="X3412" s="12">
        <f>IF(LEFT(I3412,2)="MV",2*N3412*IF(L3412="1/C",O3412,1),0)</f>
        <v/>
      </c>
      <c r="Y3412" s="12">
        <f>IF(OR(LEFT(K3412,4)="LVAX",LEFT(K3412,6)="MV15AX",LEFT(K3412,4)="CTAX",LEFT(K3412,2)="W|"),2*N3412*O3412,0)</f>
        <v/>
      </c>
      <c r="Z3412" s="12" t="inlineStr"/>
      <c r="AA3412" s="12">
        <f>N3412*O3412</f>
        <v/>
      </c>
    </row>
    <row r="3413">
      <c r="A3413" s="12" t="inlineStr">
        <is>
          <t>G-I-0139</t>
        </is>
      </c>
      <c r="B3413" s="12" t="inlineStr">
        <is>
          <t>G</t>
        </is>
      </c>
      <c r="C3413" s="12" t="inlineStr">
        <is>
          <t>Carbon capture</t>
        </is>
      </c>
      <c r="D3413" s="12" t="inlineStr">
        <is>
          <t>RTD to JB JB-CO2 compression 3 -RTD04: 6 x 1 tri (field cables)</t>
        </is>
      </c>
      <c r="E3413" s="12" t="inlineStr"/>
      <c r="F3413" s="12" t="inlineStr">
        <is>
          <t>CO2 compression 3 x ~19 MW + dehydration</t>
        </is>
      </c>
      <c r="G3413" s="12" t="inlineStr">
        <is>
          <t>JB-CO2 compression 3 -RTD04</t>
        </is>
      </c>
      <c r="H3413" s="12" t="inlineStr">
        <is>
          <t>CO2 compression 3 x ~19 MW + dehydration</t>
        </is>
      </c>
      <c r="I3413" s="12" t="inlineStr">
        <is>
          <t>Instrumentation</t>
        </is>
      </c>
      <c r="J3413" s="12" t="inlineStr">
        <is>
          <t>RTD cable, #18 shielded triads, PLTC</t>
        </is>
      </c>
      <c r="K3413" s="12" t="inlineStr">
        <is>
          <t>RTD|1 tri|18</t>
        </is>
      </c>
      <c r="L3413" s="12" t="inlineStr">
        <is>
          <t>1 tri</t>
        </is>
      </c>
      <c r="M3413" s="12" t="inlineStr">
        <is>
          <t>18</t>
        </is>
      </c>
      <c r="N3413" s="12" t="n">
        <v>6</v>
      </c>
      <c r="O3413" s="12" t="n">
        <v>1</v>
      </c>
      <c r="P3413" s="12" t="n"/>
      <c r="Q3413" s="12" t="n"/>
      <c r="R3413" s="12" t="n"/>
      <c r="S3413" s="12" t="inlineStr">
        <is>
          <t>Tray / conduit</t>
        </is>
      </c>
      <c r="T3413" s="15" t="n">
        <v>159</v>
      </c>
      <c r="U3413" s="15" t="n">
        <v>10</v>
      </c>
      <c r="V3413" s="15">
        <f>ROUNDUP((T3413+U3413+2*'Read Me'!$B$13)*(1+'Read Me'!$B$12),-1)</f>
        <v/>
      </c>
      <c r="W3413" s="15">
        <f>V3413*N3413*O3413</f>
        <v/>
      </c>
      <c r="X3413" s="12">
        <f>IF(LEFT(I3413,2)="MV",2*N3413*IF(L3413="1/C",O3413,1),0)</f>
        <v/>
      </c>
      <c r="Y3413" s="12">
        <f>IF(OR(LEFT(K3413,4)="LVAX",LEFT(K3413,6)="MV15AX",LEFT(K3413,4)="CTAX",LEFT(K3413,2)="W|"),2*N3413*O3413,0)</f>
        <v/>
      </c>
      <c r="Z3413" s="12" t="inlineStr">
        <is>
          <t>device-to-JB field wiring, one cable per device</t>
        </is>
      </c>
      <c r="AA3413" s="12">
        <f>N3413*O3413</f>
        <v/>
      </c>
    </row>
    <row r="3414">
      <c r="A3414" s="12" t="inlineStr">
        <is>
          <t>G-I-0140</t>
        </is>
      </c>
      <c r="B3414" s="12" t="inlineStr">
        <is>
          <t>G</t>
        </is>
      </c>
      <c r="C3414" s="12" t="inlineStr">
        <is>
          <t>Carbon capture</t>
        </is>
      </c>
      <c r="D3414" s="12" t="inlineStr">
        <is>
          <t>Home run JB-CO2 compression 3 -RTD04 to the control / marshalling room</t>
        </is>
      </c>
      <c r="E3414" s="12" t="inlineStr"/>
      <c r="F3414" s="12" t="inlineStr">
        <is>
          <t>CCS F&amp;G / control</t>
        </is>
      </c>
      <c r="G3414" s="12" t="inlineStr">
        <is>
          <t>JB-CO2 compression 3 -RTD04</t>
        </is>
      </c>
      <c r="H3414" s="12" t="inlineStr">
        <is>
          <t>CO2 compression 3 x ~19 MW + dehydration</t>
        </is>
      </c>
      <c r="I3414" s="12" t="inlineStr">
        <is>
          <t>Instrumentation</t>
        </is>
      </c>
      <c r="J3414" s="12" t="inlineStr">
        <is>
          <t>RTD cable, #18 shielded triads, PLTC</t>
        </is>
      </c>
      <c r="K3414" s="12" t="inlineStr">
        <is>
          <t>RTD|12 tri|18</t>
        </is>
      </c>
      <c r="L3414" s="12" t="inlineStr">
        <is>
          <t>12 tri</t>
        </is>
      </c>
      <c r="M3414" s="12" t="inlineStr">
        <is>
          <t>18</t>
        </is>
      </c>
      <c r="N3414" s="12" t="n">
        <v>1</v>
      </c>
      <c r="O3414" s="12" t="n">
        <v>1</v>
      </c>
      <c r="P3414" s="12" t="n"/>
      <c r="Q3414" s="12" t="n"/>
      <c r="R3414" s="12" t="n"/>
      <c r="S3414" s="12" t="inlineStr">
        <is>
          <t>Duct bank</t>
        </is>
      </c>
      <c r="T3414" s="15" t="n">
        <v>183</v>
      </c>
      <c r="U3414" s="15" t="n">
        <v>105</v>
      </c>
      <c r="V3414" s="15">
        <f>ROUNDUP((T3414+U3414+2*'Read Me'!$B$13)*(1+'Read Me'!$B$12),-1)</f>
        <v/>
      </c>
      <c r="W3414" s="15">
        <f>V3414*N3414*O3414</f>
        <v/>
      </c>
      <c r="X3414" s="12">
        <f>IF(LEFT(I3414,2)="MV",2*N3414*IF(L3414="1/C",O3414,1),0)</f>
        <v/>
      </c>
      <c r="Y3414" s="12">
        <f>IF(OR(LEFT(K3414,4)="LVAX",LEFT(K3414,6)="MV15AX",LEFT(K3414,4)="CTAX",LEFT(K3414,2)="W|"),2*N3414*O3414,0)</f>
        <v/>
      </c>
      <c r="Z3414" s="12" t="inlineStr"/>
      <c r="AA3414" s="12">
        <f>N3414*O3414</f>
        <v/>
      </c>
    </row>
    <row r="3415">
      <c r="A3415" s="12" t="inlineStr">
        <is>
          <t>G-I-0141</t>
        </is>
      </c>
      <c r="B3415" s="12" t="inlineStr">
        <is>
          <t>G</t>
        </is>
      </c>
      <c r="C3415" s="12" t="inlineStr">
        <is>
          <t>Carbon capture</t>
        </is>
      </c>
      <c r="D3415" s="12" t="inlineStr">
        <is>
          <t>Analog instrument to JB JB-CO2 dehydration: m-AI01: 20 x 1 pr (field cables)</t>
        </is>
      </c>
      <c r="E3415" s="12" t="inlineStr"/>
      <c r="F3415" s="12" t="inlineStr">
        <is>
          <t>CO2 dehydration: molecular-sieve towers and regeneration heater</t>
        </is>
      </c>
      <c r="G3415" s="12" t="inlineStr">
        <is>
          <t>JB-CO2 dehydration: m-AI01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PLTC|1 pr|16</t>
        </is>
      </c>
      <c r="L3415" s="12" t="inlineStr">
        <is>
          <t>1 pr</t>
        </is>
      </c>
      <c r="M3415" s="12" t="inlineStr">
        <is>
          <t>16</t>
        </is>
      </c>
      <c r="N3415" s="12" t="n">
        <v>20</v>
      </c>
      <c r="O3415" s="12" t="n">
        <v>1</v>
      </c>
      <c r="P3415" s="12" t="n"/>
      <c r="Q3415" s="12" t="n"/>
      <c r="R3415" s="12" t="n"/>
      <c r="S3415" s="12" t="inlineStr">
        <is>
          <t>Tray / conduit</t>
        </is>
      </c>
      <c r="T3415" s="15" t="n">
        <v>81</v>
      </c>
      <c r="U3415" s="15" t="n">
        <v>10</v>
      </c>
      <c r="V3415" s="15">
        <f>ROUNDUP((T3415+U3415+2*'Read Me'!$B$13)*(1+'Read Me'!$B$12),-1)</f>
        <v/>
      </c>
      <c r="W3415" s="15">
        <f>V3415*N3415*O3415</f>
        <v/>
      </c>
      <c r="X3415" s="12">
        <f>IF(LEFT(I3415,2)="MV",2*N3415*IF(L3415="1/C",O3415,1),0)</f>
        <v/>
      </c>
      <c r="Y3415" s="12">
        <f>IF(OR(LEFT(K3415,4)="LVAX",LEFT(K3415,6)="MV15AX",LEFT(K3415,4)="CTAX",LEFT(K3415,2)="W|"),2*N3415*O3415,0)</f>
        <v/>
      </c>
      <c r="Z3415" s="12" t="inlineStr">
        <is>
          <t>device-to-JB field wiring, one cable per device</t>
        </is>
      </c>
      <c r="AA3415" s="12">
        <f>N3415*O3415</f>
        <v/>
      </c>
    </row>
    <row r="3416">
      <c r="A3416" s="12" t="inlineStr">
        <is>
          <t>G-I-0142</t>
        </is>
      </c>
      <c r="B3416" s="12" t="inlineStr">
        <is>
          <t>G</t>
        </is>
      </c>
      <c r="C3416" s="12" t="inlineStr">
        <is>
          <t>Carbon capture</t>
        </is>
      </c>
      <c r="D3416" s="12" t="inlineStr">
        <is>
          <t>Home run JB-CO2 dehydration: m-AI01 to the control / marshalling room</t>
        </is>
      </c>
      <c r="E3416" s="12" t="inlineStr"/>
      <c r="F3416" s="12" t="inlineStr">
        <is>
          <t>CCS F&amp;G / control</t>
        </is>
      </c>
      <c r="G3416" s="12" t="inlineStr">
        <is>
          <t>JB-CO2 dehydration: m-AI01</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PLTC|24 pr|18</t>
        </is>
      </c>
      <c r="L3416" s="12" t="inlineStr">
        <is>
          <t>24 pr</t>
        </is>
      </c>
      <c r="M3416" s="12" t="inlineStr">
        <is>
          <t>18</t>
        </is>
      </c>
      <c r="N3416" s="12" t="n">
        <v>1</v>
      </c>
      <c r="O3416" s="12" t="n">
        <v>1</v>
      </c>
      <c r="P3416" s="12" t="n"/>
      <c r="Q3416" s="12" t="n"/>
      <c r="R3416" s="12" t="n"/>
      <c r="S3416" s="12" t="inlineStr">
        <is>
          <t>Duct bank</t>
        </is>
      </c>
      <c r="T3416" s="15" t="n">
        <v>197</v>
      </c>
      <c r="U3416" s="15" t="n">
        <v>229</v>
      </c>
      <c r="V3416" s="15">
        <f>ROUNDUP((T3416+U3416+2*'Read Me'!$B$13)*(1+'Read Me'!$B$12),-1)</f>
        <v/>
      </c>
      <c r="W3416" s="15">
        <f>V3416*N3416*O3416</f>
        <v/>
      </c>
      <c r="X3416" s="12">
        <f>IF(LEFT(I3416,2)="MV",2*N3416*IF(L3416="1/C",O3416,1),0)</f>
        <v/>
      </c>
      <c r="Y3416" s="12">
        <f>IF(OR(LEFT(K3416,4)="LVAX",LEFT(K3416,6)="MV15AX",LEFT(K3416,4)="CTAX",LEFT(K3416,2)="W|"),2*N3416*O3416,0)</f>
        <v/>
      </c>
      <c r="Z3416" s="12" t="inlineStr"/>
      <c r="AA3416" s="12">
        <f>N3416*O3416</f>
        <v/>
      </c>
    </row>
    <row r="3417">
      <c r="A3417" s="12" t="inlineStr">
        <is>
          <t>G-I-0143</t>
        </is>
      </c>
      <c r="B3417" s="12" t="inlineStr">
        <is>
          <t>G</t>
        </is>
      </c>
      <c r="C3417" s="12" t="inlineStr">
        <is>
          <t>Carbon capture</t>
        </is>
      </c>
      <c r="D3417" s="12" t="inlineStr">
        <is>
          <t>Analog instrument to JB JB-CO2 dehydration: m-AI02: 10 x 1 pr (field cables)</t>
        </is>
      </c>
      <c r="E3417" s="12" t="inlineStr"/>
      <c r="F3417" s="12" t="inlineStr">
        <is>
          <t>CO2 dehydration: molecular-sieve towers and regeneration heater</t>
        </is>
      </c>
      <c r="G3417" s="12" t="inlineStr">
        <is>
          <t>JB-CO2 dehydration: m-AI02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PLTC|1 pr|16</t>
        </is>
      </c>
      <c r="L3417" s="12" t="inlineStr">
        <is>
          <t>1 pr</t>
        </is>
      </c>
      <c r="M3417" s="12" t="inlineStr">
        <is>
          <t>16</t>
        </is>
      </c>
      <c r="N3417" s="12" t="n">
        <v>10</v>
      </c>
      <c r="O3417" s="12" t="n">
        <v>1</v>
      </c>
      <c r="P3417" s="12" t="n"/>
      <c r="Q3417" s="12" t="n"/>
      <c r="R3417" s="12" t="n"/>
      <c r="S3417" s="12" t="inlineStr">
        <is>
          <t>Tray / conduit</t>
        </is>
      </c>
      <c r="T3417" s="15" t="n">
        <v>81</v>
      </c>
      <c r="U3417" s="15" t="n">
        <v>10</v>
      </c>
      <c r="V3417" s="15">
        <f>ROUNDUP((T3417+U3417+2*'Read Me'!$B$13)*(1+'Read Me'!$B$12),-1)</f>
        <v/>
      </c>
      <c r="W3417" s="15">
        <f>V3417*N3417*O3417</f>
        <v/>
      </c>
      <c r="X3417" s="12">
        <f>IF(LEFT(I3417,2)="MV",2*N3417*IF(L3417="1/C",O3417,1),0)</f>
        <v/>
      </c>
      <c r="Y3417" s="12">
        <f>IF(OR(LEFT(K3417,4)="LVAX",LEFT(K3417,6)="MV15AX",LEFT(K3417,4)="CTAX",LEFT(K3417,2)="W|"),2*N3417*O3417,0)</f>
        <v/>
      </c>
      <c r="Z3417" s="12" t="inlineStr">
        <is>
          <t>device-to-JB field wiring, one cable per device</t>
        </is>
      </c>
      <c r="AA3417" s="12">
        <f>N3417*O3417</f>
        <v/>
      </c>
    </row>
    <row r="3418">
      <c r="A3418" s="12" t="inlineStr">
        <is>
          <t>G-I-0144</t>
        </is>
      </c>
      <c r="B3418" s="12" t="inlineStr">
        <is>
          <t>G</t>
        </is>
      </c>
      <c r="C3418" s="12" t="inlineStr">
        <is>
          <t>Carbon capture</t>
        </is>
      </c>
      <c r="D3418" s="12" t="inlineStr">
        <is>
          <t>Home run JB-CO2 dehydration: m-AI02 to the control / marshalling room</t>
        </is>
      </c>
      <c r="E3418" s="12" t="inlineStr"/>
      <c r="F3418" s="12" t="inlineStr">
        <is>
          <t>CCS F&amp;G / control</t>
        </is>
      </c>
      <c r="G3418" s="12" t="inlineStr">
        <is>
          <t>JB-CO2 dehydration: m-AI02</t>
        </is>
      </c>
      <c r="H3418" s="12" t="inlineStr">
        <is>
          <t>CO2 dehydration: molecular-sieve towers and regeneration heater</t>
        </is>
      </c>
      <c r="I3418" s="12" t="inlineStr">
        <is>
          <t>Instrumentation</t>
        </is>
      </c>
      <c r="J3418" s="12" t="inlineStr">
        <is>
          <t>Instrumentation PLTC / TC-ER 300 V, #18 twisted shielded pairs, overall shield</t>
        </is>
      </c>
      <c r="K3418" s="12" t="inlineStr">
        <is>
          <t>PLTC|24 pr|18</t>
        </is>
      </c>
      <c r="L3418" s="12" t="inlineStr">
        <is>
          <t>24 pr</t>
        </is>
      </c>
      <c r="M3418" s="12" t="inlineStr">
        <is>
          <t>18</t>
        </is>
      </c>
      <c r="N3418" s="12" t="n">
        <v>1</v>
      </c>
      <c r="O3418" s="12" t="n">
        <v>1</v>
      </c>
      <c r="P3418" s="12" t="n"/>
      <c r="Q3418" s="12" t="n"/>
      <c r="R3418" s="12" t="n"/>
      <c r="S3418" s="12" t="inlineStr">
        <is>
          <t>Duct bank</t>
        </is>
      </c>
      <c r="T3418" s="15" t="n">
        <v>197</v>
      </c>
      <c r="U3418" s="15" t="n">
        <v>229</v>
      </c>
      <c r="V3418" s="15">
        <f>ROUNDUP((T3418+U3418+2*'Read Me'!$B$13)*(1+'Read Me'!$B$12),-1)</f>
        <v/>
      </c>
      <c r="W3418" s="15">
        <f>V3418*N3418*O3418</f>
        <v/>
      </c>
      <c r="X3418" s="12">
        <f>IF(LEFT(I3418,2)="MV",2*N3418*IF(L3418="1/C",O3418,1),0)</f>
        <v/>
      </c>
      <c r="Y3418" s="12">
        <f>IF(OR(LEFT(K3418,4)="LVAX",LEFT(K3418,6)="MV15AX",LEFT(K3418,4)="CTAX",LEFT(K3418,2)="W|"),2*N3418*O3418,0)</f>
        <v/>
      </c>
      <c r="Z3418" s="12" t="inlineStr"/>
      <c r="AA3418" s="12">
        <f>N3418*O3418</f>
        <v/>
      </c>
    </row>
    <row r="3419">
      <c r="A3419" s="12" t="inlineStr">
        <is>
          <t>G-I-0145</t>
        </is>
      </c>
      <c r="B3419" s="12" t="inlineStr">
        <is>
          <t>G</t>
        </is>
      </c>
      <c r="C3419" s="12" t="inlineStr">
        <is>
          <t>Carbon capture</t>
        </is>
      </c>
      <c r="D3419" s="12" t="inlineStr">
        <is>
          <t>Discrete device to JB JB-CO2 dehydration: m-DI01: 20 x 1 pr (field cables)</t>
        </is>
      </c>
      <c r="E3419" s="12" t="inlineStr"/>
      <c r="F3419" s="12" t="inlineStr">
        <is>
          <t>CO2 dehydration: molecular-sieve towers and regeneration heater</t>
        </is>
      </c>
      <c r="G3419" s="12" t="inlineStr">
        <is>
          <t>JB-CO2 dehydration: m-DI01</t>
        </is>
      </c>
      <c r="H3419" s="12" t="inlineStr">
        <is>
          <t>CO2 dehydration: molecular-sieve towers and regeneration heater</t>
        </is>
      </c>
      <c r="I3419" s="12" t="inlineStr">
        <is>
          <t>Instrumentation</t>
        </is>
      </c>
      <c r="J3419" s="12" t="inlineStr">
        <is>
          <t>Instrumentation PLTC / TC-ER 300 V, #18 twisted shielded pairs, overall shield</t>
        </is>
      </c>
      <c r="K3419" s="12" t="inlineStr">
        <is>
          <t>PLTC|1 pr|16</t>
        </is>
      </c>
      <c r="L3419" s="12" t="inlineStr">
        <is>
          <t>1 pr</t>
        </is>
      </c>
      <c r="M3419" s="12" t="inlineStr">
        <is>
          <t>16</t>
        </is>
      </c>
      <c r="N3419" s="12" t="n">
        <v>20</v>
      </c>
      <c r="O3419" s="12" t="n">
        <v>1</v>
      </c>
      <c r="P3419" s="12" t="n"/>
      <c r="Q3419" s="12" t="n"/>
      <c r="R3419" s="12" t="n"/>
      <c r="S3419" s="12" t="inlineStr">
        <is>
          <t>Tray / conduit</t>
        </is>
      </c>
      <c r="T3419" s="15" t="n">
        <v>81</v>
      </c>
      <c r="U3419" s="15" t="n">
        <v>10</v>
      </c>
      <c r="V3419" s="15">
        <f>ROUNDUP((T3419+U3419+2*'Read Me'!$B$13)*(1+'Read Me'!$B$12),-1)</f>
        <v/>
      </c>
      <c r="W3419" s="15">
        <f>V3419*N3419*O3419</f>
        <v/>
      </c>
      <c r="X3419" s="12">
        <f>IF(LEFT(I3419,2)="MV",2*N3419*IF(L3419="1/C",O3419,1),0)</f>
        <v/>
      </c>
      <c r="Y3419" s="12">
        <f>IF(OR(LEFT(K3419,4)="LVAX",LEFT(K3419,6)="MV15AX",LEFT(K3419,4)="CTAX",LEFT(K3419,2)="W|"),2*N3419*O3419,0)</f>
        <v/>
      </c>
      <c r="Z3419" s="12" t="inlineStr">
        <is>
          <t>device-to-JB field wiring, one cable per device</t>
        </is>
      </c>
      <c r="AA3419" s="12">
        <f>N3419*O3419</f>
        <v/>
      </c>
    </row>
    <row r="3420">
      <c r="A3420" s="12" t="inlineStr">
        <is>
          <t>G-I-0146</t>
        </is>
      </c>
      <c r="B3420" s="12" t="inlineStr">
        <is>
          <t>G</t>
        </is>
      </c>
      <c r="C3420" s="12" t="inlineStr">
        <is>
          <t>Carbon capture</t>
        </is>
      </c>
      <c r="D3420" s="12" t="inlineStr">
        <is>
          <t>Home run JB-CO2 dehydration: m-DI01 to the control / marshalling room</t>
        </is>
      </c>
      <c r="E3420" s="12" t="inlineStr"/>
      <c r="F3420" s="12" t="inlineStr">
        <is>
          <t>CCS F&amp;G / control</t>
        </is>
      </c>
      <c r="G3420" s="12" t="inlineStr">
        <is>
          <t>JB-CO2 dehydration: m-DI01</t>
        </is>
      </c>
      <c r="H3420" s="12" t="inlineStr">
        <is>
          <t>CO2 dehydration: molecular-sieve towers and regeneration heater</t>
        </is>
      </c>
      <c r="I3420" s="12" t="inlineStr">
        <is>
          <t>Instrumentation</t>
        </is>
      </c>
      <c r="J3420" s="12" t="inlineStr">
        <is>
          <t>Instrumentation PLTC / TC-ER 300 V, #18 twisted shielded pairs, overall shield</t>
        </is>
      </c>
      <c r="K3420" s="12" t="inlineStr">
        <is>
          <t>PLTC|24 pr|18</t>
        </is>
      </c>
      <c r="L3420" s="12" t="inlineStr">
        <is>
          <t>24 pr</t>
        </is>
      </c>
      <c r="M3420" s="12" t="inlineStr">
        <is>
          <t>18</t>
        </is>
      </c>
      <c r="N3420" s="12" t="n">
        <v>1</v>
      </c>
      <c r="O3420" s="12" t="n">
        <v>1</v>
      </c>
      <c r="P3420" s="12" t="n"/>
      <c r="Q3420" s="12" t="n"/>
      <c r="R3420" s="12" t="n"/>
      <c r="S3420" s="12" t="inlineStr">
        <is>
          <t>Duct bank</t>
        </is>
      </c>
      <c r="T3420" s="15" t="n">
        <v>197</v>
      </c>
      <c r="U3420" s="15" t="n">
        <v>229</v>
      </c>
      <c r="V3420" s="15">
        <f>ROUNDUP((T3420+U3420+2*'Read Me'!$B$13)*(1+'Read Me'!$B$12),-1)</f>
        <v/>
      </c>
      <c r="W3420" s="15">
        <f>V3420*N3420*O3420</f>
        <v/>
      </c>
      <c r="X3420" s="12">
        <f>IF(LEFT(I3420,2)="MV",2*N3420*IF(L3420="1/C",O3420,1),0)</f>
        <v/>
      </c>
      <c r="Y3420" s="12">
        <f>IF(OR(LEFT(K3420,4)="LVAX",LEFT(K3420,6)="MV15AX",LEFT(K3420,4)="CTAX",LEFT(K3420,2)="W|"),2*N3420*O3420,0)</f>
        <v/>
      </c>
      <c r="Z3420" s="12" t="inlineStr"/>
      <c r="AA3420" s="12">
        <f>N3420*O3420</f>
        <v/>
      </c>
    </row>
    <row r="3421">
      <c r="A3421" s="12" t="inlineStr">
        <is>
          <t>G-I-0147</t>
        </is>
      </c>
      <c r="B3421" s="12" t="inlineStr">
        <is>
          <t>G</t>
        </is>
      </c>
      <c r="C3421" s="12" t="inlineStr">
        <is>
          <t>Carbon capture</t>
        </is>
      </c>
      <c r="D3421" s="12" t="inlineStr">
        <is>
          <t>Discrete device to JB JB-CO2 dehydration: m-DI02: 10 x 1 pr (field cables)</t>
        </is>
      </c>
      <c r="E3421" s="12" t="inlineStr"/>
      <c r="F3421" s="12" t="inlineStr">
        <is>
          <t>CO2 dehydration: molecular-sieve towers and regeneration heater</t>
        </is>
      </c>
      <c r="G3421" s="12" t="inlineStr">
        <is>
          <t>JB-CO2 dehydration: m-DI02</t>
        </is>
      </c>
      <c r="H3421" s="12" t="inlineStr">
        <is>
          <t>CO2 dehydration: molecular-sieve towers and regeneration heater</t>
        </is>
      </c>
      <c r="I3421" s="12" t="inlineStr">
        <is>
          <t>Instrumentation</t>
        </is>
      </c>
      <c r="J3421" s="12" t="inlineStr">
        <is>
          <t>Instrumentation PLTC / TC-ER 300 V, #18 twisted shielded pairs, overall shield</t>
        </is>
      </c>
      <c r="K3421" s="12" t="inlineStr">
        <is>
          <t>PLTC|1 pr|16</t>
        </is>
      </c>
      <c r="L3421" s="12" t="inlineStr">
        <is>
          <t>1 pr</t>
        </is>
      </c>
      <c r="M3421" s="12" t="inlineStr">
        <is>
          <t>16</t>
        </is>
      </c>
      <c r="N3421" s="12" t="n">
        <v>10</v>
      </c>
      <c r="O3421" s="12" t="n">
        <v>1</v>
      </c>
      <c r="P3421" s="12" t="n"/>
      <c r="Q3421" s="12" t="n"/>
      <c r="R3421" s="12" t="n"/>
      <c r="S3421" s="12" t="inlineStr">
        <is>
          <t>Tray / conduit</t>
        </is>
      </c>
      <c r="T3421" s="15" t="n">
        <v>81</v>
      </c>
      <c r="U3421" s="15" t="n">
        <v>10</v>
      </c>
      <c r="V3421" s="15">
        <f>ROUNDUP((T3421+U3421+2*'Read Me'!$B$13)*(1+'Read Me'!$B$12),-1)</f>
        <v/>
      </c>
      <c r="W3421" s="15">
        <f>V3421*N3421*O3421</f>
        <v/>
      </c>
      <c r="X3421" s="12">
        <f>IF(LEFT(I3421,2)="MV",2*N3421*IF(L3421="1/C",O3421,1),0)</f>
        <v/>
      </c>
      <c r="Y3421" s="12">
        <f>IF(OR(LEFT(K3421,4)="LVAX",LEFT(K3421,6)="MV15AX",LEFT(K3421,4)="CTAX",LEFT(K3421,2)="W|"),2*N3421*O3421,0)</f>
        <v/>
      </c>
      <c r="Z3421" s="12" t="inlineStr">
        <is>
          <t>device-to-JB field wiring, one cable per device</t>
        </is>
      </c>
      <c r="AA3421" s="12">
        <f>N3421*O3421</f>
        <v/>
      </c>
    </row>
    <row r="3422">
      <c r="A3422" s="12" t="inlineStr">
        <is>
          <t>G-I-0148</t>
        </is>
      </c>
      <c r="B3422" s="12" t="inlineStr">
        <is>
          <t>G</t>
        </is>
      </c>
      <c r="C3422" s="12" t="inlineStr">
        <is>
          <t>Carbon capture</t>
        </is>
      </c>
      <c r="D3422" s="12" t="inlineStr">
        <is>
          <t>Home run JB-CO2 dehydration: m-DI02 to the control / marshalling room</t>
        </is>
      </c>
      <c r="E3422" s="12" t="inlineStr"/>
      <c r="F3422" s="12" t="inlineStr">
        <is>
          <t>CCS F&amp;G / control</t>
        </is>
      </c>
      <c r="G3422" s="12" t="inlineStr">
        <is>
          <t>JB-CO2 dehydration: m-DI02</t>
        </is>
      </c>
      <c r="H3422" s="12" t="inlineStr">
        <is>
          <t>CO2 dehydration: molecular-sieve towers and regeneration heater</t>
        </is>
      </c>
      <c r="I3422" s="12" t="inlineStr">
        <is>
          <t>Instrumentation</t>
        </is>
      </c>
      <c r="J3422" s="12" t="inlineStr">
        <is>
          <t>Instrumentation PLTC / TC-ER 300 V, #18 twisted shielded pairs, overall shield</t>
        </is>
      </c>
      <c r="K3422" s="12" t="inlineStr">
        <is>
          <t>PLTC|24 pr|18</t>
        </is>
      </c>
      <c r="L3422" s="12" t="inlineStr">
        <is>
          <t>24 pr</t>
        </is>
      </c>
      <c r="M3422" s="12" t="inlineStr">
        <is>
          <t>18</t>
        </is>
      </c>
      <c r="N3422" s="12" t="n">
        <v>1</v>
      </c>
      <c r="O3422" s="12" t="n">
        <v>1</v>
      </c>
      <c r="P3422" s="12" t="n"/>
      <c r="Q3422" s="12" t="n"/>
      <c r="R3422" s="12" t="n"/>
      <c r="S3422" s="12" t="inlineStr">
        <is>
          <t>Duct bank</t>
        </is>
      </c>
      <c r="T3422" s="15" t="n">
        <v>197</v>
      </c>
      <c r="U3422" s="15" t="n">
        <v>229</v>
      </c>
      <c r="V3422" s="15">
        <f>ROUNDUP((T3422+U3422+2*'Read Me'!$B$13)*(1+'Read Me'!$B$12),-1)</f>
        <v/>
      </c>
      <c r="W3422" s="15">
        <f>V3422*N3422*O3422</f>
        <v/>
      </c>
      <c r="X3422" s="12">
        <f>IF(LEFT(I3422,2)="MV",2*N3422*IF(L3422="1/C",O3422,1),0)</f>
        <v/>
      </c>
      <c r="Y3422" s="12">
        <f>IF(OR(LEFT(K3422,4)="LVAX",LEFT(K3422,6)="MV15AX",LEFT(K3422,4)="CTAX",LEFT(K3422,2)="W|"),2*N3422*O3422,0)</f>
        <v/>
      </c>
      <c r="Z3422" s="12" t="inlineStr"/>
      <c r="AA3422" s="12">
        <f>N3422*O3422</f>
        <v/>
      </c>
    </row>
    <row r="3423">
      <c r="A3423" s="12" t="inlineStr">
        <is>
          <t>G-I-0149</t>
        </is>
      </c>
      <c r="B3423" s="12" t="inlineStr">
        <is>
          <t>G</t>
        </is>
      </c>
      <c r="C3423" s="12" t="inlineStr">
        <is>
          <t>Carbon capture</t>
        </is>
      </c>
      <c r="D3423" s="12" t="inlineStr">
        <is>
          <t>Analog instrument to JB JB-CONDITIONAL: HP ex-AI01: 20 x 1 pr (field cables)</t>
        </is>
      </c>
      <c r="E3423" s="12" t="inlineStr"/>
      <c r="F3423" s="12" t="inlineStr">
        <is>
          <t>CONDITIONAL: HP export compressor + metering</t>
        </is>
      </c>
      <c r="G3423" s="12" t="inlineStr">
        <is>
          <t>JB-CONDITIONAL: HP ex-AI01</t>
        </is>
      </c>
      <c r="H3423" s="12" t="inlineStr">
        <is>
          <t>CONDITIONAL: HP export compressor + metering</t>
        </is>
      </c>
      <c r="I3423" s="12" t="inlineStr">
        <is>
          <t>Instrumentation</t>
        </is>
      </c>
      <c r="J3423" s="12" t="inlineStr">
        <is>
          <t>Instrumentation ITC / PLTC, IS, #18 shielded pairs, blue jacket</t>
        </is>
      </c>
      <c r="K3423" s="12" t="inlineStr">
        <is>
          <t>ITC|1 pr|16</t>
        </is>
      </c>
      <c r="L3423" s="12" t="inlineStr">
        <is>
          <t>1 pr</t>
        </is>
      </c>
      <c r="M3423" s="12" t="inlineStr">
        <is>
          <t>16</t>
        </is>
      </c>
      <c r="N3423" s="12" t="n">
        <v>20</v>
      </c>
      <c r="O3423" s="12" t="n">
        <v>1</v>
      </c>
      <c r="P3423" s="12" t="n"/>
      <c r="Q3423" s="12" t="n"/>
      <c r="R3423" s="12" t="n"/>
      <c r="S3423" s="12" t="inlineStr">
        <is>
          <t>Tray / conduit</t>
        </is>
      </c>
      <c r="T3423" s="15" t="n">
        <v>100</v>
      </c>
      <c r="U3423" s="15" t="n">
        <v>10</v>
      </c>
      <c r="V3423" s="15">
        <f>ROUNDUP((T3423+U3423+2*'Read Me'!$B$13)*(1+'Read Me'!$B$12),-1)</f>
        <v/>
      </c>
      <c r="W3423" s="15">
        <f>V3423*N3423*O3423</f>
        <v/>
      </c>
      <c r="X3423" s="12">
        <f>IF(LEFT(I3423,2)="MV",2*N3423*IF(L3423="1/C",O3423,1),0)</f>
        <v/>
      </c>
      <c r="Y3423" s="12">
        <f>IF(OR(LEFT(K3423,4)="LVAX",LEFT(K3423,6)="MV15AX",LEFT(K3423,4)="CTAX",LEFT(K3423,2)="W|"),2*N3423*O3423,0)</f>
        <v/>
      </c>
      <c r="Z3423" s="12" t="inlineStr">
        <is>
          <t>device-to-JB field wiring, one cable per device</t>
        </is>
      </c>
      <c r="AA3423" s="12">
        <f>N3423*O3423</f>
        <v/>
      </c>
    </row>
    <row r="3424">
      <c r="A3424" s="12" t="inlineStr">
        <is>
          <t>G-I-0150</t>
        </is>
      </c>
      <c r="B3424" s="12" t="inlineStr">
        <is>
          <t>G</t>
        </is>
      </c>
      <c r="C3424" s="12" t="inlineStr">
        <is>
          <t>Carbon capture</t>
        </is>
      </c>
      <c r="D3424" s="12" t="inlineStr">
        <is>
          <t>Home run JB-CONDITIONAL: HP ex-AI01 to the control / marshalling room</t>
        </is>
      </c>
      <c r="E3424" s="12" t="inlineStr"/>
      <c r="F3424" s="12" t="inlineStr">
        <is>
          <t>CCS F&amp;G / control</t>
        </is>
      </c>
      <c r="G3424" s="12" t="inlineStr">
        <is>
          <t>JB-CONDITIONAL: HP ex-AI01</t>
        </is>
      </c>
      <c r="H3424" s="12" t="inlineStr">
        <is>
          <t>CONDITIONAL: HP export compressor + metering</t>
        </is>
      </c>
      <c r="I3424" s="12" t="inlineStr">
        <is>
          <t>Instrumentation</t>
        </is>
      </c>
      <c r="J3424" s="12" t="inlineStr">
        <is>
          <t>Instrumentation ITC / PLTC, IS, #18 shielded pairs, blue jacket</t>
        </is>
      </c>
      <c r="K3424" s="12" t="inlineStr">
        <is>
          <t>ITC|24 pr|18</t>
        </is>
      </c>
      <c r="L3424" s="12" t="inlineStr">
        <is>
          <t>24 pr</t>
        </is>
      </c>
      <c r="M3424" s="12" t="inlineStr">
        <is>
          <t>18</t>
        </is>
      </c>
      <c r="N3424" s="12" t="n">
        <v>1</v>
      </c>
      <c r="O3424" s="12" t="n">
        <v>1</v>
      </c>
      <c r="P3424" s="12" t="n"/>
      <c r="Q3424" s="12" t="n"/>
      <c r="R3424" s="12" t="n"/>
      <c r="S3424" s="12" t="inlineStr">
        <is>
          <t>Duct bank</t>
        </is>
      </c>
      <c r="T3424" s="15" t="n">
        <v>144</v>
      </c>
      <c r="U3424" s="15" t="n">
        <v>154</v>
      </c>
      <c r="V3424" s="15">
        <f>ROUNDUP((T3424+U3424+2*'Read Me'!$B$13)*(1+'Read Me'!$B$12),-1)</f>
        <v/>
      </c>
      <c r="W3424" s="15">
        <f>V3424*N3424*O3424</f>
        <v/>
      </c>
      <c r="X3424" s="12">
        <f>IF(LEFT(I3424,2)="MV",2*N3424*IF(L3424="1/C",O3424,1),0)</f>
        <v/>
      </c>
      <c r="Y3424" s="12">
        <f>IF(OR(LEFT(K3424,4)="LVAX",LEFT(K3424,6)="MV15AX",LEFT(K3424,4)="CTAX",LEFT(K3424,2)="W|"),2*N3424*O3424,0)</f>
        <v/>
      </c>
      <c r="Z3424" s="12" t="inlineStr"/>
      <c r="AA3424" s="12">
        <f>N3424*O3424</f>
        <v/>
      </c>
    </row>
    <row r="3425">
      <c r="A3425" s="12" t="inlineStr">
        <is>
          <t>G-I-0151</t>
        </is>
      </c>
      <c r="B3425" s="12" t="inlineStr">
        <is>
          <t>G</t>
        </is>
      </c>
      <c r="C3425" s="12" t="inlineStr">
        <is>
          <t>Carbon capture</t>
        </is>
      </c>
      <c r="D3425" s="12" t="inlineStr">
        <is>
          <t>Analog instrument to JB JB-CONDITIONAL: HP ex-AI02: 20 x 1 pr (field cables)</t>
        </is>
      </c>
      <c r="E3425" s="12" t="inlineStr"/>
      <c r="F3425" s="12" t="inlineStr">
        <is>
          <t>CONDITIONAL: HP export compressor + metering</t>
        </is>
      </c>
      <c r="G3425" s="12" t="inlineStr">
        <is>
          <t>JB-CONDITIONAL: HP ex-AI02</t>
        </is>
      </c>
      <c r="H3425" s="12" t="inlineStr">
        <is>
          <t>CONDITIONAL: HP export compressor + metering</t>
        </is>
      </c>
      <c r="I3425" s="12" t="inlineStr">
        <is>
          <t>Instrumentation</t>
        </is>
      </c>
      <c r="J3425" s="12" t="inlineStr">
        <is>
          <t>Instrumentation ITC / PLTC, IS, #18 shielded pairs, blue jacket</t>
        </is>
      </c>
      <c r="K3425" s="12" t="inlineStr">
        <is>
          <t>ITC|1 pr|16</t>
        </is>
      </c>
      <c r="L3425" s="12" t="inlineStr">
        <is>
          <t>1 pr</t>
        </is>
      </c>
      <c r="M3425" s="12" t="inlineStr">
        <is>
          <t>16</t>
        </is>
      </c>
      <c r="N3425" s="12" t="n">
        <v>20</v>
      </c>
      <c r="O3425" s="12" t="n">
        <v>1</v>
      </c>
      <c r="P3425" s="12" t="n"/>
      <c r="Q3425" s="12" t="n"/>
      <c r="R3425" s="12" t="n"/>
      <c r="S3425" s="12" t="inlineStr">
        <is>
          <t>Tray / conduit</t>
        </is>
      </c>
      <c r="T3425" s="15" t="n">
        <v>100</v>
      </c>
      <c r="U3425" s="15" t="n">
        <v>10</v>
      </c>
      <c r="V3425" s="15">
        <f>ROUNDUP((T3425+U3425+2*'Read Me'!$B$13)*(1+'Read Me'!$B$12),-1)</f>
        <v/>
      </c>
      <c r="W3425" s="15">
        <f>V3425*N3425*O3425</f>
        <v/>
      </c>
      <c r="X3425" s="12">
        <f>IF(LEFT(I3425,2)="MV",2*N3425*IF(L3425="1/C",O3425,1),0)</f>
        <v/>
      </c>
      <c r="Y3425" s="12">
        <f>IF(OR(LEFT(K3425,4)="LVAX",LEFT(K3425,6)="MV15AX",LEFT(K3425,4)="CTAX",LEFT(K3425,2)="W|"),2*N3425*O3425,0)</f>
        <v/>
      </c>
      <c r="Z3425" s="12" t="inlineStr">
        <is>
          <t>device-to-JB field wiring, one cable per device</t>
        </is>
      </c>
      <c r="AA3425" s="12">
        <f>N3425*O3425</f>
        <v/>
      </c>
    </row>
    <row r="3426">
      <c r="A3426" s="12" t="inlineStr">
        <is>
          <t>G-I-0152</t>
        </is>
      </c>
      <c r="B3426" s="12" t="inlineStr">
        <is>
          <t>G</t>
        </is>
      </c>
      <c r="C3426" s="12" t="inlineStr">
        <is>
          <t>Carbon capture</t>
        </is>
      </c>
      <c r="D3426" s="12" t="inlineStr">
        <is>
          <t>Home run JB-CONDITIONAL: HP ex-AI02 to the control / marshalling room</t>
        </is>
      </c>
      <c r="E3426" s="12" t="inlineStr"/>
      <c r="F3426" s="12" t="inlineStr">
        <is>
          <t>CCS F&amp;G / control</t>
        </is>
      </c>
      <c r="G3426" s="12" t="inlineStr">
        <is>
          <t>JB-CONDITIONAL: HP ex-AI02</t>
        </is>
      </c>
      <c r="H3426" s="12" t="inlineStr">
        <is>
          <t>CONDITIONAL: HP export compressor + metering</t>
        </is>
      </c>
      <c r="I3426" s="12" t="inlineStr">
        <is>
          <t>Instrumentation</t>
        </is>
      </c>
      <c r="J3426" s="12" t="inlineStr">
        <is>
          <t>Instrumentation ITC / PLTC, IS, #18 shielded pairs, blue jacket</t>
        </is>
      </c>
      <c r="K3426" s="12" t="inlineStr">
        <is>
          <t>ITC|24 pr|18</t>
        </is>
      </c>
      <c r="L3426" s="12" t="inlineStr">
        <is>
          <t>24 pr</t>
        </is>
      </c>
      <c r="M3426" s="12" t="inlineStr">
        <is>
          <t>18</t>
        </is>
      </c>
      <c r="N3426" s="12" t="n">
        <v>1</v>
      </c>
      <c r="O3426" s="12" t="n">
        <v>1</v>
      </c>
      <c r="P3426" s="12" t="n"/>
      <c r="Q3426" s="12" t="n"/>
      <c r="R3426" s="12" t="n"/>
      <c r="S3426" s="12" t="inlineStr">
        <is>
          <t>Duct bank</t>
        </is>
      </c>
      <c r="T3426" s="15" t="n">
        <v>144</v>
      </c>
      <c r="U3426" s="15" t="n">
        <v>154</v>
      </c>
      <c r="V3426" s="15">
        <f>ROUNDUP((T3426+U3426+2*'Read Me'!$B$13)*(1+'Read Me'!$B$12),-1)</f>
        <v/>
      </c>
      <c r="W3426" s="15">
        <f>V3426*N3426*O3426</f>
        <v/>
      </c>
      <c r="X3426" s="12">
        <f>IF(LEFT(I3426,2)="MV",2*N3426*IF(L3426="1/C",O3426,1),0)</f>
        <v/>
      </c>
      <c r="Y3426" s="12">
        <f>IF(OR(LEFT(K3426,4)="LVAX",LEFT(K3426,6)="MV15AX",LEFT(K3426,4)="CTAX",LEFT(K3426,2)="W|"),2*N3426*O3426,0)</f>
        <v/>
      </c>
      <c r="Z3426" s="12" t="inlineStr"/>
      <c r="AA3426" s="12">
        <f>N3426*O3426</f>
        <v/>
      </c>
    </row>
    <row r="3427">
      <c r="A3427" s="12" t="inlineStr">
        <is>
          <t>G-I-0153</t>
        </is>
      </c>
      <c r="B3427" s="12" t="inlineStr">
        <is>
          <t>G</t>
        </is>
      </c>
      <c r="C3427" s="12" t="inlineStr">
        <is>
          <t>Carbon capture</t>
        </is>
      </c>
      <c r="D3427" s="12" t="inlineStr">
        <is>
          <t>Analog instrument to JB JB-CONDITIONAL: HP ex-AI03: 20 x 1 pr (field cables)</t>
        </is>
      </c>
      <c r="E3427" s="12" t="inlineStr"/>
      <c r="F3427" s="12" t="inlineStr">
        <is>
          <t>CONDITIONAL: HP export compressor + metering</t>
        </is>
      </c>
      <c r="G3427" s="12" t="inlineStr">
        <is>
          <t>JB-CONDITIONAL: HP ex-AI03</t>
        </is>
      </c>
      <c r="H3427" s="12" t="inlineStr">
        <is>
          <t>CONDITIONAL: HP export compressor + metering</t>
        </is>
      </c>
      <c r="I3427" s="12" t="inlineStr">
        <is>
          <t>Instrumentation</t>
        </is>
      </c>
      <c r="J3427" s="12" t="inlineStr">
        <is>
          <t>Instrumentation ITC / PLTC, IS, #18 shielded pairs, blue jacket</t>
        </is>
      </c>
      <c r="K3427" s="12" t="inlineStr">
        <is>
          <t>ITC|1 pr|16</t>
        </is>
      </c>
      <c r="L3427" s="12" t="inlineStr">
        <is>
          <t>1 pr</t>
        </is>
      </c>
      <c r="M3427" s="12" t="inlineStr">
        <is>
          <t>16</t>
        </is>
      </c>
      <c r="N3427" s="12" t="n">
        <v>20</v>
      </c>
      <c r="O3427" s="12" t="n">
        <v>1</v>
      </c>
      <c r="P3427" s="12" t="n"/>
      <c r="Q3427" s="12" t="n"/>
      <c r="R3427" s="12" t="n"/>
      <c r="S3427" s="12" t="inlineStr">
        <is>
          <t>Tray / conduit</t>
        </is>
      </c>
      <c r="T3427" s="15" t="n">
        <v>100</v>
      </c>
      <c r="U3427" s="15" t="n">
        <v>10</v>
      </c>
      <c r="V3427" s="15">
        <f>ROUNDUP((T3427+U3427+2*'Read Me'!$B$13)*(1+'Read Me'!$B$12),-1)</f>
        <v/>
      </c>
      <c r="W3427" s="15">
        <f>V3427*N3427*O3427</f>
        <v/>
      </c>
      <c r="X3427" s="12">
        <f>IF(LEFT(I3427,2)="MV",2*N3427*IF(L3427="1/C",O3427,1),0)</f>
        <v/>
      </c>
      <c r="Y3427" s="12">
        <f>IF(OR(LEFT(K3427,4)="LVAX",LEFT(K3427,6)="MV15AX",LEFT(K3427,4)="CTAX",LEFT(K3427,2)="W|"),2*N3427*O3427,0)</f>
        <v/>
      </c>
      <c r="Z3427" s="12" t="inlineStr">
        <is>
          <t>device-to-JB field wiring, one cable per device</t>
        </is>
      </c>
      <c r="AA3427" s="12">
        <f>N3427*O3427</f>
        <v/>
      </c>
    </row>
    <row r="3428">
      <c r="A3428" s="12" t="inlineStr">
        <is>
          <t>G-I-0154</t>
        </is>
      </c>
      <c r="B3428" s="12" t="inlineStr">
        <is>
          <t>G</t>
        </is>
      </c>
      <c r="C3428" s="12" t="inlineStr">
        <is>
          <t>Carbon capture</t>
        </is>
      </c>
      <c r="D3428" s="12" t="inlineStr">
        <is>
          <t>Home run JB-CONDITIONAL: HP ex-AI03 to the control / marshalling room</t>
        </is>
      </c>
      <c r="E3428" s="12" t="inlineStr"/>
      <c r="F3428" s="12" t="inlineStr">
        <is>
          <t>CCS F&amp;G / control</t>
        </is>
      </c>
      <c r="G3428" s="12" t="inlineStr">
        <is>
          <t>JB-CONDITIONAL: HP ex-AI03</t>
        </is>
      </c>
      <c r="H3428" s="12" t="inlineStr">
        <is>
          <t>CONDITIONAL: HP export compressor + metering</t>
        </is>
      </c>
      <c r="I3428" s="12" t="inlineStr">
        <is>
          <t>Instrumentation</t>
        </is>
      </c>
      <c r="J3428" s="12" t="inlineStr">
        <is>
          <t>Instrumentation ITC / PLTC, IS, #18 shielded pairs, blue jacket</t>
        </is>
      </c>
      <c r="K3428" s="12" t="inlineStr">
        <is>
          <t>ITC|24 pr|18</t>
        </is>
      </c>
      <c r="L3428" s="12" t="inlineStr">
        <is>
          <t>24 pr</t>
        </is>
      </c>
      <c r="M3428" s="12" t="inlineStr">
        <is>
          <t>18</t>
        </is>
      </c>
      <c r="N3428" s="12" t="n">
        <v>1</v>
      </c>
      <c r="O3428" s="12" t="n">
        <v>1</v>
      </c>
      <c r="P3428" s="12" t="n"/>
      <c r="Q3428" s="12" t="n"/>
      <c r="R3428" s="12" t="n"/>
      <c r="S3428" s="12" t="inlineStr">
        <is>
          <t>Duct bank</t>
        </is>
      </c>
      <c r="T3428" s="15" t="n">
        <v>144</v>
      </c>
      <c r="U3428" s="15" t="n">
        <v>154</v>
      </c>
      <c r="V3428" s="15">
        <f>ROUNDUP((T3428+U3428+2*'Read Me'!$B$13)*(1+'Read Me'!$B$12),-1)</f>
        <v/>
      </c>
      <c r="W3428" s="15">
        <f>V3428*N3428*O3428</f>
        <v/>
      </c>
      <c r="X3428" s="12">
        <f>IF(LEFT(I3428,2)="MV",2*N3428*IF(L3428="1/C",O3428,1),0)</f>
        <v/>
      </c>
      <c r="Y3428" s="12">
        <f>IF(OR(LEFT(K3428,4)="LVAX",LEFT(K3428,6)="MV15AX",LEFT(K3428,4)="CTAX",LEFT(K3428,2)="W|"),2*N3428*O3428,0)</f>
        <v/>
      </c>
      <c r="Z3428" s="12" t="inlineStr"/>
      <c r="AA3428" s="12">
        <f>N3428*O3428</f>
        <v/>
      </c>
    </row>
    <row r="3429">
      <c r="A3429" s="12" t="inlineStr">
        <is>
          <t>G-I-0155</t>
        </is>
      </c>
      <c r="B3429" s="12" t="inlineStr">
        <is>
          <t>G</t>
        </is>
      </c>
      <c r="C3429" s="12" t="inlineStr">
        <is>
          <t>Carbon capture</t>
        </is>
      </c>
      <c r="D3429" s="12" t="inlineStr">
        <is>
          <t>Discrete device to JB JB-CONDITIONAL: HP ex-DI01: 20 x 1 pr (field cables)</t>
        </is>
      </c>
      <c r="E3429" s="12" t="inlineStr"/>
      <c r="F3429" s="12" t="inlineStr">
        <is>
          <t>CONDITIONAL: HP export compressor + metering</t>
        </is>
      </c>
      <c r="G3429" s="12" t="inlineStr">
        <is>
          <t>JB-CONDITIONAL: HP ex-DI01</t>
        </is>
      </c>
      <c r="H3429" s="12" t="inlineStr">
        <is>
          <t>CONDITIONAL: HP export compressor + metering</t>
        </is>
      </c>
      <c r="I3429" s="12" t="inlineStr">
        <is>
          <t>Instrumentation</t>
        </is>
      </c>
      <c r="J3429" s="12" t="inlineStr">
        <is>
          <t>Instrumentation ITC / PLTC, IS, #18 shielded pairs, blue jacket</t>
        </is>
      </c>
      <c r="K3429" s="12" t="inlineStr">
        <is>
          <t>ITC|1 pr|16</t>
        </is>
      </c>
      <c r="L3429" s="12" t="inlineStr">
        <is>
          <t>1 pr</t>
        </is>
      </c>
      <c r="M3429" s="12" t="inlineStr">
        <is>
          <t>16</t>
        </is>
      </c>
      <c r="N3429" s="12" t="n">
        <v>20</v>
      </c>
      <c r="O3429" s="12" t="n">
        <v>1</v>
      </c>
      <c r="P3429" s="12" t="n"/>
      <c r="Q3429" s="12" t="n"/>
      <c r="R3429" s="12" t="n"/>
      <c r="S3429" s="12" t="inlineStr">
        <is>
          <t>Tray / conduit</t>
        </is>
      </c>
      <c r="T3429" s="15" t="n">
        <v>100</v>
      </c>
      <c r="U3429" s="15" t="n">
        <v>10</v>
      </c>
      <c r="V3429" s="15">
        <f>ROUNDUP((T3429+U3429+2*'Read Me'!$B$13)*(1+'Read Me'!$B$12),-1)</f>
        <v/>
      </c>
      <c r="W3429" s="15">
        <f>V3429*N3429*O3429</f>
        <v/>
      </c>
      <c r="X3429" s="12">
        <f>IF(LEFT(I3429,2)="MV",2*N3429*IF(L3429="1/C",O3429,1),0)</f>
        <v/>
      </c>
      <c r="Y3429" s="12">
        <f>IF(OR(LEFT(K3429,4)="LVAX",LEFT(K3429,6)="MV15AX",LEFT(K3429,4)="CTAX",LEFT(K3429,2)="W|"),2*N3429*O3429,0)</f>
        <v/>
      </c>
      <c r="Z3429" s="12" t="inlineStr">
        <is>
          <t>device-to-JB field wiring, one cable per device</t>
        </is>
      </c>
      <c r="AA3429" s="12">
        <f>N3429*O3429</f>
        <v/>
      </c>
    </row>
    <row r="3430">
      <c r="A3430" s="12" t="inlineStr">
        <is>
          <t>G-I-0156</t>
        </is>
      </c>
      <c r="B3430" s="12" t="inlineStr">
        <is>
          <t>G</t>
        </is>
      </c>
      <c r="C3430" s="12" t="inlineStr">
        <is>
          <t>Carbon capture</t>
        </is>
      </c>
      <c r="D3430" s="12" t="inlineStr">
        <is>
          <t>Home run JB-CONDITIONAL: HP ex-DI01 to the control / marshalling room</t>
        </is>
      </c>
      <c r="E3430" s="12" t="inlineStr"/>
      <c r="F3430" s="12" t="inlineStr">
        <is>
          <t>CCS F&amp;G / control</t>
        </is>
      </c>
      <c r="G3430" s="12" t="inlineStr">
        <is>
          <t>JB-CONDITIONAL: HP ex-DI01</t>
        </is>
      </c>
      <c r="H3430" s="12" t="inlineStr">
        <is>
          <t>CONDITIONAL: HP export compressor + metering</t>
        </is>
      </c>
      <c r="I3430" s="12" t="inlineStr">
        <is>
          <t>Instrumentation</t>
        </is>
      </c>
      <c r="J3430" s="12" t="inlineStr">
        <is>
          <t>Instrumentation ITC / PLTC, IS, #18 shielded pairs, blue jacket</t>
        </is>
      </c>
      <c r="K3430" s="12" t="inlineStr">
        <is>
          <t>ITC|24 pr|18</t>
        </is>
      </c>
      <c r="L3430" s="12" t="inlineStr">
        <is>
          <t>24 pr</t>
        </is>
      </c>
      <c r="M3430" s="12" t="inlineStr">
        <is>
          <t>18</t>
        </is>
      </c>
      <c r="N3430" s="12" t="n">
        <v>1</v>
      </c>
      <c r="O3430" s="12" t="n">
        <v>1</v>
      </c>
      <c r="P3430" s="12" t="n"/>
      <c r="Q3430" s="12" t="n"/>
      <c r="R3430" s="12" t="n"/>
      <c r="S3430" s="12" t="inlineStr">
        <is>
          <t>Duct bank</t>
        </is>
      </c>
      <c r="T3430" s="15" t="n">
        <v>144</v>
      </c>
      <c r="U3430" s="15" t="n">
        <v>154</v>
      </c>
      <c r="V3430" s="15">
        <f>ROUNDUP((T3430+U3430+2*'Read Me'!$B$13)*(1+'Read Me'!$B$12),-1)</f>
        <v/>
      </c>
      <c r="W3430" s="15">
        <f>V3430*N3430*O3430</f>
        <v/>
      </c>
      <c r="X3430" s="12">
        <f>IF(LEFT(I3430,2)="MV",2*N3430*IF(L3430="1/C",O3430,1),0)</f>
        <v/>
      </c>
      <c r="Y3430" s="12">
        <f>IF(OR(LEFT(K3430,4)="LVAX",LEFT(K3430,6)="MV15AX",LEFT(K3430,4)="CTAX",LEFT(K3430,2)="W|"),2*N3430*O3430,0)</f>
        <v/>
      </c>
      <c r="Z3430" s="12" t="inlineStr"/>
      <c r="AA3430" s="12">
        <f>N3430*O3430</f>
        <v/>
      </c>
    </row>
    <row r="3431">
      <c r="A3431" s="12" t="inlineStr">
        <is>
          <t>G-I-0157</t>
        </is>
      </c>
      <c r="B3431" s="12" t="inlineStr">
        <is>
          <t>G</t>
        </is>
      </c>
      <c r="C3431" s="12" t="inlineStr">
        <is>
          <t>Carbon capture</t>
        </is>
      </c>
      <c r="D3431" s="12" t="inlineStr">
        <is>
          <t>Discrete device to JB JB-CONDITIONAL: HP ex-DI02: 20 x 1 pr (field cables)</t>
        </is>
      </c>
      <c r="E3431" s="12" t="inlineStr"/>
      <c r="F3431" s="12" t="inlineStr">
        <is>
          <t>CONDITIONAL: HP export compressor + metering</t>
        </is>
      </c>
      <c r="G3431" s="12" t="inlineStr">
        <is>
          <t>JB-CONDITIONAL: HP ex-DI02</t>
        </is>
      </c>
      <c r="H3431" s="12" t="inlineStr">
        <is>
          <t>CONDITIONAL: HP export compressor + metering</t>
        </is>
      </c>
      <c r="I3431" s="12" t="inlineStr">
        <is>
          <t>Instrumentation</t>
        </is>
      </c>
      <c r="J3431" s="12" t="inlineStr">
        <is>
          <t>Instrumentation ITC / PLTC, IS, #18 shielded pairs, blue jacket</t>
        </is>
      </c>
      <c r="K3431" s="12" t="inlineStr">
        <is>
          <t>ITC|1 pr|16</t>
        </is>
      </c>
      <c r="L3431" s="12" t="inlineStr">
        <is>
          <t>1 pr</t>
        </is>
      </c>
      <c r="M3431" s="12" t="inlineStr">
        <is>
          <t>16</t>
        </is>
      </c>
      <c r="N3431" s="12" t="n">
        <v>20</v>
      </c>
      <c r="O3431" s="12" t="n">
        <v>1</v>
      </c>
      <c r="P3431" s="12" t="n"/>
      <c r="Q3431" s="12" t="n"/>
      <c r="R3431" s="12" t="n"/>
      <c r="S3431" s="12" t="inlineStr">
        <is>
          <t>Tray / conduit</t>
        </is>
      </c>
      <c r="T3431" s="15" t="n">
        <v>100</v>
      </c>
      <c r="U3431" s="15" t="n">
        <v>10</v>
      </c>
      <c r="V3431" s="15">
        <f>ROUNDUP((T3431+U3431+2*'Read Me'!$B$13)*(1+'Read Me'!$B$12),-1)</f>
        <v/>
      </c>
      <c r="W3431" s="15">
        <f>V3431*N3431*O3431</f>
        <v/>
      </c>
      <c r="X3431" s="12">
        <f>IF(LEFT(I3431,2)="MV",2*N3431*IF(L3431="1/C",O3431,1),0)</f>
        <v/>
      </c>
      <c r="Y3431" s="12">
        <f>IF(OR(LEFT(K3431,4)="LVAX",LEFT(K3431,6)="MV15AX",LEFT(K3431,4)="CTAX",LEFT(K3431,2)="W|"),2*N3431*O3431,0)</f>
        <v/>
      </c>
      <c r="Z3431" s="12" t="inlineStr">
        <is>
          <t>device-to-JB field wiring, one cable per device</t>
        </is>
      </c>
      <c r="AA3431" s="12">
        <f>N3431*O3431</f>
        <v/>
      </c>
    </row>
    <row r="3432">
      <c r="A3432" s="12" t="inlineStr">
        <is>
          <t>G-I-0158</t>
        </is>
      </c>
      <c r="B3432" s="12" t="inlineStr">
        <is>
          <t>G</t>
        </is>
      </c>
      <c r="C3432" s="12" t="inlineStr">
        <is>
          <t>Carbon capture</t>
        </is>
      </c>
      <c r="D3432" s="12" t="inlineStr">
        <is>
          <t>Home run JB-CONDITIONAL: HP ex-DI02 to the control / marshalling room</t>
        </is>
      </c>
      <c r="E3432" s="12" t="inlineStr"/>
      <c r="F3432" s="12" t="inlineStr">
        <is>
          <t>CCS F&amp;G / control</t>
        </is>
      </c>
      <c r="G3432" s="12" t="inlineStr">
        <is>
          <t>JB-CONDITIONAL: HP ex-DI02</t>
        </is>
      </c>
      <c r="H3432" s="12" t="inlineStr">
        <is>
          <t>CONDITIONAL: HP export compressor + metering</t>
        </is>
      </c>
      <c r="I3432" s="12" t="inlineStr">
        <is>
          <t>Instrumentation</t>
        </is>
      </c>
      <c r="J3432" s="12" t="inlineStr">
        <is>
          <t>Instrumentation ITC / PLTC, IS, #18 shielded pairs, blue jacket</t>
        </is>
      </c>
      <c r="K3432" s="12" t="inlineStr">
        <is>
          <t>ITC|24 pr|18</t>
        </is>
      </c>
      <c r="L3432" s="12" t="inlineStr">
        <is>
          <t>24 pr</t>
        </is>
      </c>
      <c r="M3432" s="12" t="inlineStr">
        <is>
          <t>18</t>
        </is>
      </c>
      <c r="N3432" s="12" t="n">
        <v>1</v>
      </c>
      <c r="O3432" s="12" t="n">
        <v>1</v>
      </c>
      <c r="P3432" s="12" t="n"/>
      <c r="Q3432" s="12" t="n"/>
      <c r="R3432" s="12" t="n"/>
      <c r="S3432" s="12" t="inlineStr">
        <is>
          <t>Duct bank</t>
        </is>
      </c>
      <c r="T3432" s="15" t="n">
        <v>144</v>
      </c>
      <c r="U3432" s="15" t="n">
        <v>154</v>
      </c>
      <c r="V3432" s="15">
        <f>ROUNDUP((T3432+U3432+2*'Read Me'!$B$13)*(1+'Read Me'!$B$12),-1)</f>
        <v/>
      </c>
      <c r="W3432" s="15">
        <f>V3432*N3432*O3432</f>
        <v/>
      </c>
      <c r="X3432" s="12">
        <f>IF(LEFT(I3432,2)="MV",2*N3432*IF(L3432="1/C",O3432,1),0)</f>
        <v/>
      </c>
      <c r="Y3432" s="12">
        <f>IF(OR(LEFT(K3432,4)="LVAX",LEFT(K3432,6)="MV15AX",LEFT(K3432,4)="CTAX",LEFT(K3432,2)="W|"),2*N3432*O3432,0)</f>
        <v/>
      </c>
      <c r="Z3432" s="12" t="inlineStr"/>
      <c r="AA3432" s="12">
        <f>N3432*O3432</f>
        <v/>
      </c>
    </row>
    <row r="3433">
      <c r="A3433" s="12" t="inlineStr">
        <is>
          <t>G-I-0159</t>
        </is>
      </c>
      <c r="B3433" s="12" t="inlineStr">
        <is>
          <t>G</t>
        </is>
      </c>
      <c r="C3433" s="12" t="inlineStr">
        <is>
          <t>Carbon capture</t>
        </is>
      </c>
      <c r="D3433" s="12" t="inlineStr">
        <is>
          <t>RTD to JB JB-CONDITIONAL: HP ex-RTD01: 10 x 1 tri (field cables)</t>
        </is>
      </c>
      <c r="E3433" s="12" t="inlineStr"/>
      <c r="F3433" s="12" t="inlineStr">
        <is>
          <t>CONDITIONAL: HP export compressor + metering</t>
        </is>
      </c>
      <c r="G3433" s="12" t="inlineStr">
        <is>
          <t>JB-CONDITIONAL: HP ex-RTD01</t>
        </is>
      </c>
      <c r="H3433" s="12" t="inlineStr">
        <is>
          <t>CONDITIONAL: HP export compressor + metering</t>
        </is>
      </c>
      <c r="I3433" s="12" t="inlineStr">
        <is>
          <t>Instrumentation</t>
        </is>
      </c>
      <c r="J3433" s="12" t="inlineStr">
        <is>
          <t>RTD cable, #18 shielded triads, PLTC</t>
        </is>
      </c>
      <c r="K3433" s="12" t="inlineStr">
        <is>
          <t>RTD|1 tri|18</t>
        </is>
      </c>
      <c r="L3433" s="12" t="inlineStr">
        <is>
          <t>1 tri</t>
        </is>
      </c>
      <c r="M3433" s="12" t="inlineStr">
        <is>
          <t>18</t>
        </is>
      </c>
      <c r="N3433" s="12" t="n">
        <v>10</v>
      </c>
      <c r="O3433" s="12" t="n">
        <v>1</v>
      </c>
      <c r="P3433" s="12" t="n"/>
      <c r="Q3433" s="12" t="n"/>
      <c r="R3433" s="12" t="n"/>
      <c r="S3433" s="12" t="inlineStr">
        <is>
          <t>Tray / conduit</t>
        </is>
      </c>
      <c r="T3433" s="15" t="n">
        <v>100</v>
      </c>
      <c r="U3433" s="15" t="n">
        <v>10</v>
      </c>
      <c r="V3433" s="15">
        <f>ROUNDUP((T3433+U3433+2*'Read Me'!$B$13)*(1+'Read Me'!$B$12),-1)</f>
        <v/>
      </c>
      <c r="W3433" s="15">
        <f>V3433*N3433*O3433</f>
        <v/>
      </c>
      <c r="X3433" s="12">
        <f>IF(LEFT(I3433,2)="MV",2*N3433*IF(L3433="1/C",O3433,1),0)</f>
        <v/>
      </c>
      <c r="Y3433" s="12">
        <f>IF(OR(LEFT(K3433,4)="LVAX",LEFT(K3433,6)="MV15AX",LEFT(K3433,4)="CTAX",LEFT(K3433,2)="W|"),2*N3433*O3433,0)</f>
        <v/>
      </c>
      <c r="Z3433" s="12" t="inlineStr">
        <is>
          <t>device-to-JB field wiring, one cable per device</t>
        </is>
      </c>
      <c r="AA3433" s="12">
        <f>N3433*O3433</f>
        <v/>
      </c>
    </row>
    <row r="3434">
      <c r="A3434" s="12" t="inlineStr">
        <is>
          <t>G-I-0160</t>
        </is>
      </c>
      <c r="B3434" s="12" t="inlineStr">
        <is>
          <t>G</t>
        </is>
      </c>
      <c r="C3434" s="12" t="inlineStr">
        <is>
          <t>Carbon capture</t>
        </is>
      </c>
      <c r="D3434" s="12" t="inlineStr">
        <is>
          <t>Home run JB-CONDITIONAL: HP ex-RTD01 to the control / marshalling room</t>
        </is>
      </c>
      <c r="E3434" s="12" t="inlineStr"/>
      <c r="F3434" s="12" t="inlineStr">
        <is>
          <t>CCS F&amp;G / control</t>
        </is>
      </c>
      <c r="G3434" s="12" t="inlineStr">
        <is>
          <t>JB-CONDITIONAL: HP ex-RTD01</t>
        </is>
      </c>
      <c r="H3434" s="12" t="inlineStr">
        <is>
          <t>CONDITIONAL: HP export compressor + metering</t>
        </is>
      </c>
      <c r="I3434" s="12" t="inlineStr">
        <is>
          <t>Instrumentation</t>
        </is>
      </c>
      <c r="J3434" s="12" t="inlineStr">
        <is>
          <t>RTD cable, #18 shielded triads, PLTC</t>
        </is>
      </c>
      <c r="K3434" s="12" t="inlineStr">
        <is>
          <t>RTD|12 tri|18</t>
        </is>
      </c>
      <c r="L3434" s="12" t="inlineStr">
        <is>
          <t>12 tri</t>
        </is>
      </c>
      <c r="M3434" s="12" t="inlineStr">
        <is>
          <t>18</t>
        </is>
      </c>
      <c r="N3434" s="12" t="n">
        <v>1</v>
      </c>
      <c r="O3434" s="12" t="n">
        <v>1</v>
      </c>
      <c r="P3434" s="12" t="n"/>
      <c r="Q3434" s="12" t="n"/>
      <c r="R3434" s="12" t="n"/>
      <c r="S3434" s="12" t="inlineStr">
        <is>
          <t>Duct bank</t>
        </is>
      </c>
      <c r="T3434" s="15" t="n">
        <v>144</v>
      </c>
      <c r="U3434" s="15" t="n">
        <v>154</v>
      </c>
      <c r="V3434" s="15">
        <f>ROUNDUP((T3434+U3434+2*'Read Me'!$B$13)*(1+'Read Me'!$B$12),-1)</f>
        <v/>
      </c>
      <c r="W3434" s="15">
        <f>V3434*N3434*O3434</f>
        <v/>
      </c>
      <c r="X3434" s="12">
        <f>IF(LEFT(I3434,2)="MV",2*N3434*IF(L3434="1/C",O3434,1),0)</f>
        <v/>
      </c>
      <c r="Y3434" s="12">
        <f>IF(OR(LEFT(K3434,4)="LVAX",LEFT(K3434,6)="MV15AX",LEFT(K3434,4)="CTAX",LEFT(K3434,2)="W|"),2*N3434*O3434,0)</f>
        <v/>
      </c>
      <c r="Z3434" s="12" t="inlineStr"/>
      <c r="AA3434" s="12">
        <f>N3434*O3434</f>
        <v/>
      </c>
    </row>
    <row r="3435">
      <c r="A3435" s="12" t="inlineStr">
        <is>
          <t>G-I-0161</t>
        </is>
      </c>
      <c r="B3435" s="12" t="inlineStr">
        <is>
          <t>G</t>
        </is>
      </c>
      <c r="C3435" s="12" t="inlineStr">
        <is>
          <t>Carbon capture</t>
        </is>
      </c>
      <c r="D3435" s="12" t="inlineStr">
        <is>
          <t>RTD to JB JB-CONDITIONAL: HP ex-RTD02: 2 x 1 tri (field cables)</t>
        </is>
      </c>
      <c r="E3435" s="12" t="inlineStr"/>
      <c r="F3435" s="12" t="inlineStr">
        <is>
          <t>CONDITIONAL: HP export compressor + metering</t>
        </is>
      </c>
      <c r="G3435" s="12" t="inlineStr">
        <is>
          <t>JB-CONDITIONAL: HP ex-RTD02</t>
        </is>
      </c>
      <c r="H3435" s="12" t="inlineStr">
        <is>
          <t>CONDITIONAL: HP export compressor + metering</t>
        </is>
      </c>
      <c r="I3435" s="12" t="inlineStr">
        <is>
          <t>Instrumentation</t>
        </is>
      </c>
      <c r="J3435" s="12" t="inlineStr">
        <is>
          <t>RTD cable, #18 shielded triads, PLTC</t>
        </is>
      </c>
      <c r="K3435" s="12" t="inlineStr">
        <is>
          <t>RTD|1 tri|18</t>
        </is>
      </c>
      <c r="L3435" s="12" t="inlineStr">
        <is>
          <t>1 tri</t>
        </is>
      </c>
      <c r="M3435" s="12" t="inlineStr">
        <is>
          <t>18</t>
        </is>
      </c>
      <c r="N3435" s="12" t="n">
        <v>2</v>
      </c>
      <c r="O3435" s="12" t="n">
        <v>1</v>
      </c>
      <c r="P3435" s="12" t="n"/>
      <c r="Q3435" s="12" t="n"/>
      <c r="R3435" s="12" t="n"/>
      <c r="S3435" s="12" t="inlineStr">
        <is>
          <t>Tray / conduit</t>
        </is>
      </c>
      <c r="T3435" s="15" t="n">
        <v>100</v>
      </c>
      <c r="U3435" s="15" t="n">
        <v>10</v>
      </c>
      <c r="V3435" s="15">
        <f>ROUNDUP((T3435+U3435+2*'Read Me'!$B$13)*(1+'Read Me'!$B$12),-1)</f>
        <v/>
      </c>
      <c r="W3435" s="15">
        <f>V3435*N3435*O3435</f>
        <v/>
      </c>
      <c r="X3435" s="12">
        <f>IF(LEFT(I3435,2)="MV",2*N3435*IF(L3435="1/C",O3435,1),0)</f>
        <v/>
      </c>
      <c r="Y3435" s="12">
        <f>IF(OR(LEFT(K3435,4)="LVAX",LEFT(K3435,6)="MV15AX",LEFT(K3435,4)="CTAX",LEFT(K3435,2)="W|"),2*N3435*O3435,0)</f>
        <v/>
      </c>
      <c r="Z3435" s="12" t="inlineStr">
        <is>
          <t>device-to-JB field wiring, one cable per device</t>
        </is>
      </c>
      <c r="AA3435" s="12">
        <f>N3435*O3435</f>
        <v/>
      </c>
    </row>
    <row r="3436">
      <c r="A3436" s="12" t="inlineStr">
        <is>
          <t>G-I-0162</t>
        </is>
      </c>
      <c r="B3436" s="12" t="inlineStr">
        <is>
          <t>G</t>
        </is>
      </c>
      <c r="C3436" s="12" t="inlineStr">
        <is>
          <t>Carbon capture</t>
        </is>
      </c>
      <c r="D3436" s="12" t="inlineStr">
        <is>
          <t>Home run JB-CONDITIONAL: HP ex-RTD02 to the control / marshalling room</t>
        </is>
      </c>
      <c r="E3436" s="12" t="inlineStr"/>
      <c r="F3436" s="12" t="inlineStr">
        <is>
          <t>CCS F&amp;G / control</t>
        </is>
      </c>
      <c r="G3436" s="12" t="inlineStr">
        <is>
          <t>JB-CONDITIONAL: HP ex-RTD02</t>
        </is>
      </c>
      <c r="H3436" s="12" t="inlineStr">
        <is>
          <t>CONDITIONAL: HP export compressor + metering</t>
        </is>
      </c>
      <c r="I3436" s="12" t="inlineStr">
        <is>
          <t>Instrumentation</t>
        </is>
      </c>
      <c r="J3436" s="12" t="inlineStr">
        <is>
          <t>RTD cable, #18 shielded triads, PLTC</t>
        </is>
      </c>
      <c r="K3436" s="12" t="inlineStr">
        <is>
          <t>RTD|12 tri|18</t>
        </is>
      </c>
      <c r="L3436" s="12" t="inlineStr">
        <is>
          <t>12 tri</t>
        </is>
      </c>
      <c r="M3436" s="12" t="inlineStr">
        <is>
          <t>18</t>
        </is>
      </c>
      <c r="N3436" s="12" t="n">
        <v>1</v>
      </c>
      <c r="O3436" s="12" t="n">
        <v>1</v>
      </c>
      <c r="P3436" s="12" t="n"/>
      <c r="Q3436" s="12" t="n"/>
      <c r="R3436" s="12" t="n"/>
      <c r="S3436" s="12" t="inlineStr">
        <is>
          <t>Duct bank</t>
        </is>
      </c>
      <c r="T3436" s="15" t="n">
        <v>144</v>
      </c>
      <c r="U3436" s="15" t="n">
        <v>154</v>
      </c>
      <c r="V3436" s="15">
        <f>ROUNDUP((T3436+U3436+2*'Read Me'!$B$13)*(1+'Read Me'!$B$12),-1)</f>
        <v/>
      </c>
      <c r="W3436" s="15">
        <f>V3436*N3436*O3436</f>
        <v/>
      </c>
      <c r="X3436" s="12">
        <f>IF(LEFT(I3436,2)="MV",2*N3436*IF(L3436="1/C",O3436,1),0)</f>
        <v/>
      </c>
      <c r="Y3436" s="12">
        <f>IF(OR(LEFT(K3436,4)="LVAX",LEFT(K3436,6)="MV15AX",LEFT(K3436,4)="CTAX",LEFT(K3436,2)="W|"),2*N3436*O3436,0)</f>
        <v/>
      </c>
      <c r="Z3436" s="12" t="inlineStr"/>
      <c r="AA3436" s="12">
        <f>N3436*O3436</f>
        <v/>
      </c>
    </row>
    <row r="3437">
      <c r="A3437" s="12" t="inlineStr">
        <is>
          <t>G-I-0163</t>
        </is>
      </c>
      <c r="B3437" s="12" t="inlineStr">
        <is>
          <t>G</t>
        </is>
      </c>
      <c r="C3437" s="12" t="inlineStr">
        <is>
          <t>Carbon capture</t>
        </is>
      </c>
      <c r="D3437" s="12" t="inlineStr">
        <is>
          <t>Analog instrument to JB JB-DCC-A pumps + wate-AI01: 10 x 1 pr (field cables)</t>
        </is>
      </c>
      <c r="E3437" s="12" t="inlineStr"/>
      <c r="F3437" s="12" t="inlineStr">
        <is>
          <t>DCC-A pumps + water filter</t>
        </is>
      </c>
      <c r="G3437" s="12" t="inlineStr">
        <is>
          <t>JB-DCC-A pumps + wate-AI01</t>
        </is>
      </c>
      <c r="H3437" s="12" t="inlineStr">
        <is>
          <t>DCC-A pumps + water filter</t>
        </is>
      </c>
      <c r="I3437" s="12" t="inlineStr">
        <is>
          <t>Instrumentation</t>
        </is>
      </c>
      <c r="J3437" s="12" t="inlineStr">
        <is>
          <t>Instrumentation PLTC / TC-ER 300 V, #18 twisted shielded pairs, overall shield</t>
        </is>
      </c>
      <c r="K3437" s="12" t="inlineStr">
        <is>
          <t>PLTC|1 pr|16</t>
        </is>
      </c>
      <c r="L3437" s="12" t="inlineStr">
        <is>
          <t>1 pr</t>
        </is>
      </c>
      <c r="M3437" s="12" t="inlineStr">
        <is>
          <t>16</t>
        </is>
      </c>
      <c r="N3437" s="12" t="n">
        <v>10</v>
      </c>
      <c r="O3437" s="12" t="n">
        <v>1</v>
      </c>
      <c r="P3437" s="12" t="n"/>
      <c r="Q3437" s="12" t="n"/>
      <c r="R3437" s="12" t="n"/>
      <c r="S3437" s="12" t="inlineStr">
        <is>
          <t>Tray / conduit</t>
        </is>
      </c>
      <c r="T3437" s="15" t="n">
        <v>60</v>
      </c>
      <c r="U3437" s="15" t="n">
        <v>10</v>
      </c>
      <c r="V3437" s="15">
        <f>ROUNDUP((T3437+U3437+2*'Read Me'!$B$13)*(1+'Read Me'!$B$12),-1)</f>
        <v/>
      </c>
      <c r="W3437" s="15">
        <f>V3437*N3437*O3437</f>
        <v/>
      </c>
      <c r="X3437" s="12">
        <f>IF(LEFT(I3437,2)="MV",2*N3437*IF(L3437="1/C",O3437,1),0)</f>
        <v/>
      </c>
      <c r="Y3437" s="12">
        <f>IF(OR(LEFT(K3437,4)="LVAX",LEFT(K3437,6)="MV15AX",LEFT(K3437,4)="CTAX",LEFT(K3437,2)="W|"),2*N3437*O3437,0)</f>
        <v/>
      </c>
      <c r="Z3437" s="12" t="inlineStr">
        <is>
          <t>device-to-JB field wiring, one cable per device</t>
        </is>
      </c>
      <c r="AA3437" s="12">
        <f>N3437*O3437</f>
        <v/>
      </c>
    </row>
    <row r="3438">
      <c r="A3438" s="12" t="inlineStr">
        <is>
          <t>G-I-0164</t>
        </is>
      </c>
      <c r="B3438" s="12" t="inlineStr">
        <is>
          <t>G</t>
        </is>
      </c>
      <c r="C3438" s="12" t="inlineStr">
        <is>
          <t>Carbon capture</t>
        </is>
      </c>
      <c r="D3438" s="12" t="inlineStr">
        <is>
          <t>Home run JB-DCC-A pumps + wate-AI01 to the control / marshalling room</t>
        </is>
      </c>
      <c r="E3438" s="12" t="inlineStr"/>
      <c r="F3438" s="12" t="inlineStr">
        <is>
          <t>CCS F&amp;G / control</t>
        </is>
      </c>
      <c r="G3438" s="12" t="inlineStr">
        <is>
          <t>JB-DCC-A pumps + wate-AI01</t>
        </is>
      </c>
      <c r="H3438" s="12" t="inlineStr">
        <is>
          <t>DCC-A pumps + water filter</t>
        </is>
      </c>
      <c r="I3438" s="12" t="inlineStr">
        <is>
          <t>Instrumentation</t>
        </is>
      </c>
      <c r="J3438" s="12" t="inlineStr">
        <is>
          <t>Instrumentation PLTC / TC-ER 300 V, #18 twisted shielded pairs, overall shield</t>
        </is>
      </c>
      <c r="K3438" s="12" t="inlineStr">
        <is>
          <t>PLTC|24 pr|18</t>
        </is>
      </c>
      <c r="L3438" s="12" t="inlineStr">
        <is>
          <t>24 pr</t>
        </is>
      </c>
      <c r="M3438" s="12" t="inlineStr">
        <is>
          <t>18</t>
        </is>
      </c>
      <c r="N3438" s="12" t="n">
        <v>1</v>
      </c>
      <c r="O3438" s="12" t="n">
        <v>1</v>
      </c>
      <c r="P3438" s="12" t="n"/>
      <c r="Q3438" s="12" t="n"/>
      <c r="R3438" s="12" t="n"/>
      <c r="S3438" s="12" t="inlineStr">
        <is>
          <t>Tray</t>
        </is>
      </c>
      <c r="T3438" s="15" t="n">
        <v>884</v>
      </c>
      <c r="U3438" s="15" t="n">
        <v>233</v>
      </c>
      <c r="V3438" s="15">
        <f>ROUNDUP((T3438+U3438+2*'Read Me'!$B$13)*(1+'Read Me'!$B$12),-1)</f>
        <v/>
      </c>
      <c r="W3438" s="15">
        <f>V3438*N3438*O3438</f>
        <v/>
      </c>
      <c r="X3438" s="12">
        <f>IF(LEFT(I3438,2)="MV",2*N3438*IF(L3438="1/C",O3438,1),0)</f>
        <v/>
      </c>
      <c r="Y3438" s="12">
        <f>IF(OR(LEFT(K3438,4)="LVAX",LEFT(K3438,6)="MV15AX",LEFT(K3438,4)="CTAX",LEFT(K3438,2)="W|"),2*N3438*O3438,0)</f>
        <v/>
      </c>
      <c r="Z3438" s="12" t="inlineStr"/>
      <c r="AA3438" s="12">
        <f>N3438*O3438</f>
        <v/>
      </c>
    </row>
    <row r="3439">
      <c r="A3439" s="12" t="inlineStr">
        <is>
          <t>G-I-0165</t>
        </is>
      </c>
      <c r="B3439" s="12" t="inlineStr">
        <is>
          <t>G</t>
        </is>
      </c>
      <c r="C3439" s="12" t="inlineStr">
        <is>
          <t>Carbon capture</t>
        </is>
      </c>
      <c r="D3439" s="12" t="inlineStr">
        <is>
          <t>Discrete device to JB JB-DCC-A pumps + wate-DI01: 10 x 1 pr (field cables)</t>
        </is>
      </c>
      <c r="E3439" s="12" t="inlineStr"/>
      <c r="F3439" s="12" t="inlineStr">
        <is>
          <t>DCC-A pumps + water filter</t>
        </is>
      </c>
      <c r="G3439" s="12" t="inlineStr">
        <is>
          <t>JB-DCC-A pumps + wate-DI01</t>
        </is>
      </c>
      <c r="H3439" s="12" t="inlineStr">
        <is>
          <t>DCC-A pumps + water filter</t>
        </is>
      </c>
      <c r="I3439" s="12" t="inlineStr">
        <is>
          <t>Instrumentation</t>
        </is>
      </c>
      <c r="J3439" s="12" t="inlineStr">
        <is>
          <t>Instrumentation PLTC / TC-ER 300 V, #18 twisted shielded pairs, overall shield</t>
        </is>
      </c>
      <c r="K3439" s="12" t="inlineStr">
        <is>
          <t>PLTC|1 pr|16</t>
        </is>
      </c>
      <c r="L3439" s="12" t="inlineStr">
        <is>
          <t>1 pr</t>
        </is>
      </c>
      <c r="M3439" s="12" t="inlineStr">
        <is>
          <t>16</t>
        </is>
      </c>
      <c r="N3439" s="12" t="n">
        <v>10</v>
      </c>
      <c r="O3439" s="12" t="n">
        <v>1</v>
      </c>
      <c r="P3439" s="12" t="n"/>
      <c r="Q3439" s="12" t="n"/>
      <c r="R3439" s="12" t="n"/>
      <c r="S3439" s="12" t="inlineStr">
        <is>
          <t>Tray / conduit</t>
        </is>
      </c>
      <c r="T3439" s="15" t="n">
        <v>60</v>
      </c>
      <c r="U3439" s="15" t="n">
        <v>10</v>
      </c>
      <c r="V3439" s="15">
        <f>ROUNDUP((T3439+U3439+2*'Read Me'!$B$13)*(1+'Read Me'!$B$12),-1)</f>
        <v/>
      </c>
      <c r="W3439" s="15">
        <f>V3439*N3439*O3439</f>
        <v/>
      </c>
      <c r="X3439" s="12">
        <f>IF(LEFT(I3439,2)="MV",2*N3439*IF(L3439="1/C",O3439,1),0)</f>
        <v/>
      </c>
      <c r="Y3439" s="12">
        <f>IF(OR(LEFT(K3439,4)="LVAX",LEFT(K3439,6)="MV15AX",LEFT(K3439,4)="CTAX",LEFT(K3439,2)="W|"),2*N3439*O3439,0)</f>
        <v/>
      </c>
      <c r="Z3439" s="12" t="inlineStr">
        <is>
          <t>device-to-JB field wiring, one cable per device</t>
        </is>
      </c>
      <c r="AA3439" s="12">
        <f>N3439*O3439</f>
        <v/>
      </c>
    </row>
    <row r="3440">
      <c r="A3440" s="12" t="inlineStr">
        <is>
          <t>G-I-0166</t>
        </is>
      </c>
      <c r="B3440" s="12" t="inlineStr">
        <is>
          <t>G</t>
        </is>
      </c>
      <c r="C3440" s="12" t="inlineStr">
        <is>
          <t>Carbon capture</t>
        </is>
      </c>
      <c r="D3440" s="12" t="inlineStr">
        <is>
          <t>Home run JB-DCC-A pumps + wate-DI01 to the control / marshalling room</t>
        </is>
      </c>
      <c r="E3440" s="12" t="inlineStr"/>
      <c r="F3440" s="12" t="inlineStr">
        <is>
          <t>CCS F&amp;G / control</t>
        </is>
      </c>
      <c r="G3440" s="12" t="inlineStr">
        <is>
          <t>JB-DCC-A pumps + wate-DI01</t>
        </is>
      </c>
      <c r="H3440" s="12" t="inlineStr">
        <is>
          <t>DCC-A pumps + water filter</t>
        </is>
      </c>
      <c r="I3440" s="12" t="inlineStr">
        <is>
          <t>Instrumentation</t>
        </is>
      </c>
      <c r="J3440" s="12" t="inlineStr">
        <is>
          <t>Instrumentation PLTC / TC-ER 300 V, #18 twisted shielded pairs, overall shield</t>
        </is>
      </c>
      <c r="K3440" s="12" t="inlineStr">
        <is>
          <t>PLTC|24 pr|18</t>
        </is>
      </c>
      <c r="L3440" s="12" t="inlineStr">
        <is>
          <t>24 pr</t>
        </is>
      </c>
      <c r="M3440" s="12" t="inlineStr">
        <is>
          <t>18</t>
        </is>
      </c>
      <c r="N3440" s="12" t="n">
        <v>1</v>
      </c>
      <c r="O3440" s="12" t="n">
        <v>1</v>
      </c>
      <c r="P3440" s="12" t="n"/>
      <c r="Q3440" s="12" t="n"/>
      <c r="R3440" s="12" t="n"/>
      <c r="S3440" s="12" t="inlineStr">
        <is>
          <t>Tray</t>
        </is>
      </c>
      <c r="T3440" s="15" t="n">
        <v>884</v>
      </c>
      <c r="U3440" s="15" t="n">
        <v>233</v>
      </c>
      <c r="V3440" s="15">
        <f>ROUNDUP((T3440+U3440+2*'Read Me'!$B$13)*(1+'Read Me'!$B$12),-1)</f>
        <v/>
      </c>
      <c r="W3440" s="15">
        <f>V3440*N3440*O3440</f>
        <v/>
      </c>
      <c r="X3440" s="12">
        <f>IF(LEFT(I3440,2)="MV",2*N3440*IF(L3440="1/C",O3440,1),0)</f>
        <v/>
      </c>
      <c r="Y3440" s="12">
        <f>IF(OR(LEFT(K3440,4)="LVAX",LEFT(K3440,6)="MV15AX",LEFT(K3440,4)="CTAX",LEFT(K3440,2)="W|"),2*N3440*O3440,0)</f>
        <v/>
      </c>
      <c r="Z3440" s="12" t="inlineStr"/>
      <c r="AA3440" s="12">
        <f>N3440*O3440</f>
        <v/>
      </c>
    </row>
    <row r="3441">
      <c r="A3441" s="12" t="inlineStr">
        <is>
          <t>G-I-0167</t>
        </is>
      </c>
      <c r="B3441" s="12" t="inlineStr">
        <is>
          <t>G</t>
        </is>
      </c>
      <c r="C3441" s="12" t="inlineStr">
        <is>
          <t>Carbon capture</t>
        </is>
      </c>
      <c r="D3441" s="12" t="inlineStr">
        <is>
          <t>Analog instrument to JB JB-DCC-A-AI01: 20 x 1 pr (field cables)</t>
        </is>
      </c>
      <c r="E3441" s="12" t="inlineStr">
        <is>
          <t>DCC-A</t>
        </is>
      </c>
      <c r="F3441" s="12" t="inlineStr">
        <is>
          <t>DCC-A: direct-contact cooler (quench)</t>
        </is>
      </c>
      <c r="G3441" s="12" t="inlineStr">
        <is>
          <t>JB-DCC-A-AI01</t>
        </is>
      </c>
      <c r="H3441" s="12" t="inlineStr">
        <is>
          <t>DCC-A: direct-contact cooler (quench)</t>
        </is>
      </c>
      <c r="I3441" s="12" t="inlineStr">
        <is>
          <t>Instrumentation</t>
        </is>
      </c>
      <c r="J3441" s="12" t="inlineStr">
        <is>
          <t>Instrumentation PLTC / TC-ER 300 V, #18 twisted shielded pairs, overall shield</t>
        </is>
      </c>
      <c r="K3441" s="12" t="inlineStr">
        <is>
          <t>PLTC|1 pr|16</t>
        </is>
      </c>
      <c r="L3441" s="12" t="inlineStr">
        <is>
          <t>1 pr</t>
        </is>
      </c>
      <c r="M3441" s="12" t="inlineStr">
        <is>
          <t>16</t>
        </is>
      </c>
      <c r="N3441" s="12" t="n">
        <v>20</v>
      </c>
      <c r="O3441" s="12" t="n">
        <v>1</v>
      </c>
      <c r="P3441" s="12" t="n"/>
      <c r="Q3441" s="12" t="n"/>
      <c r="R3441" s="12" t="n"/>
      <c r="S3441" s="12" t="inlineStr">
        <is>
          <t>Tray / conduit</t>
        </is>
      </c>
      <c r="T3441" s="15" t="n">
        <v>121</v>
      </c>
      <c r="U3441" s="15" t="n">
        <v>10</v>
      </c>
      <c r="V3441" s="15">
        <f>ROUNDUP((T3441+U3441+2*'Read Me'!$B$13)*(1+'Read Me'!$B$12),-1)</f>
        <v/>
      </c>
      <c r="W3441" s="15">
        <f>V3441*N3441*O3441</f>
        <v/>
      </c>
      <c r="X3441" s="12">
        <f>IF(LEFT(I3441,2)="MV",2*N3441*IF(L3441="1/C",O3441,1),0)</f>
        <v/>
      </c>
      <c r="Y3441" s="12">
        <f>IF(OR(LEFT(K3441,4)="LVAX",LEFT(K3441,6)="MV15AX",LEFT(K3441,4)="CTAX",LEFT(K3441,2)="W|"),2*N3441*O3441,0)</f>
        <v/>
      </c>
      <c r="Z3441" s="12" t="inlineStr">
        <is>
          <t>device-to-JB field wiring, one cable per device</t>
        </is>
      </c>
      <c r="AA3441" s="12">
        <f>N3441*O3441</f>
        <v/>
      </c>
    </row>
    <row r="3442">
      <c r="A3442" s="12" t="inlineStr">
        <is>
          <t>G-I-0168</t>
        </is>
      </c>
      <c r="B3442" s="12" t="inlineStr">
        <is>
          <t>G</t>
        </is>
      </c>
      <c r="C3442" s="12" t="inlineStr">
        <is>
          <t>Carbon capture</t>
        </is>
      </c>
      <c r="D3442" s="12" t="inlineStr">
        <is>
          <t>Home run JB-DCC-A-AI01 to the control / marshalling room</t>
        </is>
      </c>
      <c r="E3442" s="12" t="inlineStr"/>
      <c r="F3442" s="12" t="inlineStr">
        <is>
          <t>CCS F&amp;G / control</t>
        </is>
      </c>
      <c r="G3442" s="12" t="inlineStr">
        <is>
          <t>JB-DCC-A-AI01</t>
        </is>
      </c>
      <c r="H3442" s="12" t="inlineStr">
        <is>
          <t>DCC-A: direct-contact cooler (quench)</t>
        </is>
      </c>
      <c r="I3442" s="12" t="inlineStr">
        <is>
          <t>Instrumentation</t>
        </is>
      </c>
      <c r="J3442" s="12" t="inlineStr">
        <is>
          <t>Instrumentation PLTC / TC-ER 300 V, #18 twisted shielded pairs, overall shield</t>
        </is>
      </c>
      <c r="K3442" s="12" t="inlineStr">
        <is>
          <t>PLTC|24 pr|18</t>
        </is>
      </c>
      <c r="L3442" s="12" t="inlineStr">
        <is>
          <t>24 pr</t>
        </is>
      </c>
      <c r="M3442" s="12" t="inlineStr">
        <is>
          <t>18</t>
        </is>
      </c>
      <c r="N3442" s="12" t="n">
        <v>1</v>
      </c>
      <c r="O3442" s="12" t="n">
        <v>1</v>
      </c>
      <c r="P3442" s="12" t="n"/>
      <c r="Q3442" s="12" t="n"/>
      <c r="R3442" s="12" t="n"/>
      <c r="S3442" s="12" t="inlineStr">
        <is>
          <t>Duct bank</t>
        </is>
      </c>
      <c r="T3442" s="15" t="n">
        <v>861</v>
      </c>
      <c r="U3442" s="15" t="n">
        <v>129</v>
      </c>
      <c r="V3442" s="15">
        <f>ROUNDUP((T3442+U3442+2*'Read Me'!$B$13)*(1+'Read Me'!$B$12),-1)</f>
        <v/>
      </c>
      <c r="W3442" s="15">
        <f>V3442*N3442*O3442</f>
        <v/>
      </c>
      <c r="X3442" s="12">
        <f>IF(LEFT(I3442,2)="MV",2*N3442*IF(L3442="1/C",O3442,1),0)</f>
        <v/>
      </c>
      <c r="Y3442" s="12">
        <f>IF(OR(LEFT(K3442,4)="LVAX",LEFT(K3442,6)="MV15AX",LEFT(K3442,4)="CTAX",LEFT(K3442,2)="W|"),2*N3442*O3442,0)</f>
        <v/>
      </c>
      <c r="Z3442" s="12" t="inlineStr"/>
      <c r="AA3442" s="12">
        <f>N3442*O3442</f>
        <v/>
      </c>
    </row>
    <row r="3443">
      <c r="A3443" s="12" t="inlineStr">
        <is>
          <t>G-I-0169</t>
        </is>
      </c>
      <c r="B3443" s="12" t="inlineStr">
        <is>
          <t>G</t>
        </is>
      </c>
      <c r="C3443" s="12" t="inlineStr">
        <is>
          <t>Carbon capture</t>
        </is>
      </c>
      <c r="D3443" s="12" t="inlineStr">
        <is>
          <t>Discrete device to JB JB-DCC-A-DI01: 10 x 1 pr (field cables)</t>
        </is>
      </c>
      <c r="E3443" s="12" t="inlineStr">
        <is>
          <t>DCC-A</t>
        </is>
      </c>
      <c r="F3443" s="12" t="inlineStr">
        <is>
          <t>DCC-A: direct-contact cooler (quench)</t>
        </is>
      </c>
      <c r="G3443" s="12" t="inlineStr">
        <is>
          <t>JB-DCC-A-DI01</t>
        </is>
      </c>
      <c r="H3443" s="12" t="inlineStr">
        <is>
          <t>DCC-A: direct-contact cooler (quench)</t>
        </is>
      </c>
      <c r="I3443" s="12" t="inlineStr">
        <is>
          <t>Instrumentation</t>
        </is>
      </c>
      <c r="J3443" s="12" t="inlineStr">
        <is>
          <t>Instrumentation PLTC / TC-ER 300 V, #18 twisted shielded pairs, overall shield</t>
        </is>
      </c>
      <c r="K3443" s="12" t="inlineStr">
        <is>
          <t>PLTC|1 pr|16</t>
        </is>
      </c>
      <c r="L3443" s="12" t="inlineStr">
        <is>
          <t>1 pr</t>
        </is>
      </c>
      <c r="M3443" s="12" t="inlineStr">
        <is>
          <t>16</t>
        </is>
      </c>
      <c r="N3443" s="12" t="n">
        <v>10</v>
      </c>
      <c r="O3443" s="12" t="n">
        <v>1</v>
      </c>
      <c r="P3443" s="12" t="n"/>
      <c r="Q3443" s="12" t="n"/>
      <c r="R3443" s="12" t="n"/>
      <c r="S3443" s="12" t="inlineStr">
        <is>
          <t>Tray / conduit</t>
        </is>
      </c>
      <c r="T3443" s="15" t="n">
        <v>121</v>
      </c>
      <c r="U3443" s="15" t="n">
        <v>10</v>
      </c>
      <c r="V3443" s="15">
        <f>ROUNDUP((T3443+U3443+2*'Read Me'!$B$13)*(1+'Read Me'!$B$12),-1)</f>
        <v/>
      </c>
      <c r="W3443" s="15">
        <f>V3443*N3443*O3443</f>
        <v/>
      </c>
      <c r="X3443" s="12">
        <f>IF(LEFT(I3443,2)="MV",2*N3443*IF(L3443="1/C",O3443,1),0)</f>
        <v/>
      </c>
      <c r="Y3443" s="12">
        <f>IF(OR(LEFT(K3443,4)="LVAX",LEFT(K3443,6)="MV15AX",LEFT(K3443,4)="CTAX",LEFT(K3443,2)="W|"),2*N3443*O3443,0)</f>
        <v/>
      </c>
      <c r="Z3443" s="12" t="inlineStr">
        <is>
          <t>device-to-JB field wiring, one cable per device</t>
        </is>
      </c>
      <c r="AA3443" s="12">
        <f>N3443*O3443</f>
        <v/>
      </c>
    </row>
    <row r="3444">
      <c r="A3444" s="12" t="inlineStr">
        <is>
          <t>G-I-0170</t>
        </is>
      </c>
      <c r="B3444" s="12" t="inlineStr">
        <is>
          <t>G</t>
        </is>
      </c>
      <c r="C3444" s="12" t="inlineStr">
        <is>
          <t>Carbon capture</t>
        </is>
      </c>
      <c r="D3444" s="12" t="inlineStr">
        <is>
          <t>Home run JB-DCC-A-DI01 to the control / marshalling room</t>
        </is>
      </c>
      <c r="E3444" s="12" t="inlineStr"/>
      <c r="F3444" s="12" t="inlineStr">
        <is>
          <t>CCS F&amp;G / control</t>
        </is>
      </c>
      <c r="G3444" s="12" t="inlineStr">
        <is>
          <t>JB-DCC-A-DI01</t>
        </is>
      </c>
      <c r="H3444" s="12" t="inlineStr">
        <is>
          <t>DCC-A: direct-contact cooler (quench)</t>
        </is>
      </c>
      <c r="I3444" s="12" t="inlineStr">
        <is>
          <t>Instrumentation</t>
        </is>
      </c>
      <c r="J3444" s="12" t="inlineStr">
        <is>
          <t>Instrumentation PLTC / TC-ER 300 V, #18 twisted shielded pairs, overall shield</t>
        </is>
      </c>
      <c r="K3444" s="12" t="inlineStr">
        <is>
          <t>PLTC|24 pr|18</t>
        </is>
      </c>
      <c r="L3444" s="12" t="inlineStr">
        <is>
          <t>24 pr</t>
        </is>
      </c>
      <c r="M3444" s="12" t="inlineStr">
        <is>
          <t>18</t>
        </is>
      </c>
      <c r="N3444" s="12" t="n">
        <v>1</v>
      </c>
      <c r="O3444" s="12" t="n">
        <v>1</v>
      </c>
      <c r="P3444" s="12" t="n"/>
      <c r="Q3444" s="12" t="n"/>
      <c r="R3444" s="12" t="n"/>
      <c r="S3444" s="12" t="inlineStr">
        <is>
          <t>Duct bank</t>
        </is>
      </c>
      <c r="T3444" s="15" t="n">
        <v>861</v>
      </c>
      <c r="U3444" s="15" t="n">
        <v>129</v>
      </c>
      <c r="V3444" s="15">
        <f>ROUNDUP((T3444+U3444+2*'Read Me'!$B$13)*(1+'Read Me'!$B$12),-1)</f>
        <v/>
      </c>
      <c r="W3444" s="15">
        <f>V3444*N3444*O3444</f>
        <v/>
      </c>
      <c r="X3444" s="12">
        <f>IF(LEFT(I3444,2)="MV",2*N3444*IF(L3444="1/C",O3444,1),0)</f>
        <v/>
      </c>
      <c r="Y3444" s="12">
        <f>IF(OR(LEFT(K3444,4)="LVAX",LEFT(K3444,6)="MV15AX",LEFT(K3444,4)="CTAX",LEFT(K3444,2)="W|"),2*N3444*O3444,0)</f>
        <v/>
      </c>
      <c r="Z3444" s="12" t="inlineStr"/>
      <c r="AA3444" s="12">
        <f>N3444*O3444</f>
        <v/>
      </c>
    </row>
    <row r="3445">
      <c r="A3445" s="12" t="inlineStr">
        <is>
          <t>G-I-0171</t>
        </is>
      </c>
      <c r="B3445" s="12" t="inlineStr">
        <is>
          <t>G</t>
        </is>
      </c>
      <c r="C3445" s="12" t="inlineStr">
        <is>
          <t>Carbon capture</t>
        </is>
      </c>
      <c r="D3445" s="12" t="inlineStr">
        <is>
          <t>Analog instrument to JB JB-DCC-B pumps + wate-AI01: 10 x 1 pr (field cables)</t>
        </is>
      </c>
      <c r="E3445" s="12" t="inlineStr"/>
      <c r="F3445" s="12" t="inlineStr">
        <is>
          <t>DCC-B pumps + water filter</t>
        </is>
      </c>
      <c r="G3445" s="12" t="inlineStr">
        <is>
          <t>JB-DCC-B pumps + wate-AI01</t>
        </is>
      </c>
      <c r="H3445" s="12" t="inlineStr">
        <is>
          <t>DCC-B pumps + water filter</t>
        </is>
      </c>
      <c r="I3445" s="12" t="inlineStr">
        <is>
          <t>Instrumentation</t>
        </is>
      </c>
      <c r="J3445" s="12" t="inlineStr">
        <is>
          <t>Instrumentation PLTC / TC-ER 300 V, #18 twisted shielded pairs, overall shield</t>
        </is>
      </c>
      <c r="K3445" s="12" t="inlineStr">
        <is>
          <t>PLTC|1 pr|16</t>
        </is>
      </c>
      <c r="L3445" s="12" t="inlineStr">
        <is>
          <t>1 pr</t>
        </is>
      </c>
      <c r="M3445" s="12" t="inlineStr">
        <is>
          <t>16</t>
        </is>
      </c>
      <c r="N3445" s="12" t="n">
        <v>10</v>
      </c>
      <c r="O3445" s="12" t="n">
        <v>1</v>
      </c>
      <c r="P3445" s="12" t="n"/>
      <c r="Q3445" s="12" t="n"/>
      <c r="R3445" s="12" t="n"/>
      <c r="S3445" s="12" t="inlineStr">
        <is>
          <t>Tray / conduit</t>
        </is>
      </c>
      <c r="T3445" s="15" t="n">
        <v>60</v>
      </c>
      <c r="U3445" s="15" t="n">
        <v>10</v>
      </c>
      <c r="V3445" s="15">
        <f>ROUNDUP((T3445+U3445+2*'Read Me'!$B$13)*(1+'Read Me'!$B$12),-1)</f>
        <v/>
      </c>
      <c r="W3445" s="15">
        <f>V3445*N3445*O3445</f>
        <v/>
      </c>
      <c r="X3445" s="12">
        <f>IF(LEFT(I3445,2)="MV",2*N3445*IF(L3445="1/C",O3445,1),0)</f>
        <v/>
      </c>
      <c r="Y3445" s="12">
        <f>IF(OR(LEFT(K3445,4)="LVAX",LEFT(K3445,6)="MV15AX",LEFT(K3445,4)="CTAX",LEFT(K3445,2)="W|"),2*N3445*O3445,0)</f>
        <v/>
      </c>
      <c r="Z3445" s="12" t="inlineStr">
        <is>
          <t>device-to-JB field wiring, one cable per device</t>
        </is>
      </c>
      <c r="AA3445" s="12">
        <f>N3445*O3445</f>
        <v/>
      </c>
    </row>
    <row r="3446">
      <c r="A3446" s="12" t="inlineStr">
        <is>
          <t>G-I-0172</t>
        </is>
      </c>
      <c r="B3446" s="12" t="inlineStr">
        <is>
          <t>G</t>
        </is>
      </c>
      <c r="C3446" s="12" t="inlineStr">
        <is>
          <t>Carbon capture</t>
        </is>
      </c>
      <c r="D3446" s="12" t="inlineStr">
        <is>
          <t>Home run JB-DCC-B pumps + wate-AI01 to the control / marshalling room</t>
        </is>
      </c>
      <c r="E3446" s="12" t="inlineStr"/>
      <c r="F3446" s="12" t="inlineStr">
        <is>
          <t>CCS F&amp;G / control</t>
        </is>
      </c>
      <c r="G3446" s="12" t="inlineStr">
        <is>
          <t>JB-DCC-B pumps + wate-AI01</t>
        </is>
      </c>
      <c r="H3446" s="12" t="inlineStr">
        <is>
          <t>DCC-B pumps + water filter</t>
        </is>
      </c>
      <c r="I3446" s="12" t="inlineStr">
        <is>
          <t>Instrumentation</t>
        </is>
      </c>
      <c r="J3446" s="12" t="inlineStr">
        <is>
          <t>Instrumentation PLTC / TC-ER 300 V, #18 twisted shielded pairs, overall shield</t>
        </is>
      </c>
      <c r="K3446" s="12" t="inlineStr">
        <is>
          <t>PLTC|24 pr|18</t>
        </is>
      </c>
      <c r="L3446" s="12" t="inlineStr">
        <is>
          <t>24 pr</t>
        </is>
      </c>
      <c r="M3446" s="12" t="inlineStr">
        <is>
          <t>18</t>
        </is>
      </c>
      <c r="N3446" s="12" t="n">
        <v>1</v>
      </c>
      <c r="O3446" s="12" t="n">
        <v>1</v>
      </c>
      <c r="P3446" s="12" t="n"/>
      <c r="Q3446" s="12" t="n"/>
      <c r="R3446" s="12" t="n"/>
      <c r="S3446" s="12" t="inlineStr">
        <is>
          <t>Tray</t>
        </is>
      </c>
      <c r="T3446" s="15" t="n">
        <v>784</v>
      </c>
      <c r="U3446" s="15" t="n">
        <v>191</v>
      </c>
      <c r="V3446" s="15">
        <f>ROUNDUP((T3446+U3446+2*'Read Me'!$B$13)*(1+'Read Me'!$B$12),-1)</f>
        <v/>
      </c>
      <c r="W3446" s="15">
        <f>V3446*N3446*O3446</f>
        <v/>
      </c>
      <c r="X3446" s="12">
        <f>IF(LEFT(I3446,2)="MV",2*N3446*IF(L3446="1/C",O3446,1),0)</f>
        <v/>
      </c>
      <c r="Y3446" s="12">
        <f>IF(OR(LEFT(K3446,4)="LVAX",LEFT(K3446,6)="MV15AX",LEFT(K3446,4)="CTAX",LEFT(K3446,2)="W|"),2*N3446*O3446,0)</f>
        <v/>
      </c>
      <c r="Z3446" s="12" t="inlineStr"/>
      <c r="AA3446" s="12">
        <f>N3446*O3446</f>
        <v/>
      </c>
    </row>
    <row r="3447">
      <c r="A3447" s="12" t="inlineStr">
        <is>
          <t>G-I-0173</t>
        </is>
      </c>
      <c r="B3447" s="12" t="inlineStr">
        <is>
          <t>G</t>
        </is>
      </c>
      <c r="C3447" s="12" t="inlineStr">
        <is>
          <t>Carbon capture</t>
        </is>
      </c>
      <c r="D3447" s="12" t="inlineStr">
        <is>
          <t>Discrete device to JB JB-DCC-B pumps + wate-DI01: 10 x 1 pr (field cables)</t>
        </is>
      </c>
      <c r="E3447" s="12" t="inlineStr"/>
      <c r="F3447" s="12" t="inlineStr">
        <is>
          <t>DCC-B pumps + water filter</t>
        </is>
      </c>
      <c r="G3447" s="12" t="inlineStr">
        <is>
          <t>JB-DCC-B pumps + wate-DI01</t>
        </is>
      </c>
      <c r="H3447" s="12" t="inlineStr">
        <is>
          <t>DCC-B pumps + water filter</t>
        </is>
      </c>
      <c r="I3447" s="12" t="inlineStr">
        <is>
          <t>Instrumentation</t>
        </is>
      </c>
      <c r="J3447" s="12" t="inlineStr">
        <is>
          <t>Instrumentation PLTC / TC-ER 300 V, #18 twisted shielded pairs, overall shield</t>
        </is>
      </c>
      <c r="K3447" s="12" t="inlineStr">
        <is>
          <t>PLTC|1 pr|16</t>
        </is>
      </c>
      <c r="L3447" s="12" t="inlineStr">
        <is>
          <t>1 pr</t>
        </is>
      </c>
      <c r="M3447" s="12" t="inlineStr">
        <is>
          <t>16</t>
        </is>
      </c>
      <c r="N3447" s="12" t="n">
        <v>10</v>
      </c>
      <c r="O3447" s="12" t="n">
        <v>1</v>
      </c>
      <c r="P3447" s="12" t="n"/>
      <c r="Q3447" s="12" t="n"/>
      <c r="R3447" s="12" t="n"/>
      <c r="S3447" s="12" t="inlineStr">
        <is>
          <t>Tray / conduit</t>
        </is>
      </c>
      <c r="T3447" s="15" t="n">
        <v>60</v>
      </c>
      <c r="U3447" s="15" t="n">
        <v>10</v>
      </c>
      <c r="V3447" s="15">
        <f>ROUNDUP((T3447+U3447+2*'Read Me'!$B$13)*(1+'Read Me'!$B$12),-1)</f>
        <v/>
      </c>
      <c r="W3447" s="15">
        <f>V3447*N3447*O3447</f>
        <v/>
      </c>
      <c r="X3447" s="12">
        <f>IF(LEFT(I3447,2)="MV",2*N3447*IF(L3447="1/C",O3447,1),0)</f>
        <v/>
      </c>
      <c r="Y3447" s="12">
        <f>IF(OR(LEFT(K3447,4)="LVAX",LEFT(K3447,6)="MV15AX",LEFT(K3447,4)="CTAX",LEFT(K3447,2)="W|"),2*N3447*O3447,0)</f>
        <v/>
      </c>
      <c r="Z3447" s="12" t="inlineStr">
        <is>
          <t>device-to-JB field wiring, one cable per device</t>
        </is>
      </c>
      <c r="AA3447" s="12">
        <f>N3447*O3447</f>
        <v/>
      </c>
    </row>
    <row r="3448">
      <c r="A3448" s="12" t="inlineStr">
        <is>
          <t>G-I-0174</t>
        </is>
      </c>
      <c r="B3448" s="12" t="inlineStr">
        <is>
          <t>G</t>
        </is>
      </c>
      <c r="C3448" s="12" t="inlineStr">
        <is>
          <t>Carbon capture</t>
        </is>
      </c>
      <c r="D3448" s="12" t="inlineStr">
        <is>
          <t>Home run JB-DCC-B pumps + wate-DI01 to the control / marshalling room</t>
        </is>
      </c>
      <c r="E3448" s="12" t="inlineStr"/>
      <c r="F3448" s="12" t="inlineStr">
        <is>
          <t>CCS F&amp;G / control</t>
        </is>
      </c>
      <c r="G3448" s="12" t="inlineStr">
        <is>
          <t>JB-DCC-B pumps + wate-DI01</t>
        </is>
      </c>
      <c r="H3448" s="12" t="inlineStr">
        <is>
          <t>DCC-B pumps + water filter</t>
        </is>
      </c>
      <c r="I3448" s="12" t="inlineStr">
        <is>
          <t>Instrumentation</t>
        </is>
      </c>
      <c r="J3448" s="12" t="inlineStr">
        <is>
          <t>Instrumentation PLTC / TC-ER 300 V, #18 twisted shielded pairs, overall shield</t>
        </is>
      </c>
      <c r="K3448" s="12" t="inlineStr">
        <is>
          <t>PLTC|24 pr|18</t>
        </is>
      </c>
      <c r="L3448" s="12" t="inlineStr">
        <is>
          <t>24 pr</t>
        </is>
      </c>
      <c r="M3448" s="12" t="inlineStr">
        <is>
          <t>18</t>
        </is>
      </c>
      <c r="N3448" s="12" t="n">
        <v>1</v>
      </c>
      <c r="O3448" s="12" t="n">
        <v>1</v>
      </c>
      <c r="P3448" s="12" t="n"/>
      <c r="Q3448" s="12" t="n"/>
      <c r="R3448" s="12" t="n"/>
      <c r="S3448" s="12" t="inlineStr">
        <is>
          <t>Tray</t>
        </is>
      </c>
      <c r="T3448" s="15" t="n">
        <v>784</v>
      </c>
      <c r="U3448" s="15" t="n">
        <v>191</v>
      </c>
      <c r="V3448" s="15">
        <f>ROUNDUP((T3448+U3448+2*'Read Me'!$B$13)*(1+'Read Me'!$B$12),-1)</f>
        <v/>
      </c>
      <c r="W3448" s="15">
        <f>V3448*N3448*O3448</f>
        <v/>
      </c>
      <c r="X3448" s="12">
        <f>IF(LEFT(I3448,2)="MV",2*N3448*IF(L3448="1/C",O3448,1),0)</f>
        <v/>
      </c>
      <c r="Y3448" s="12">
        <f>IF(OR(LEFT(K3448,4)="LVAX",LEFT(K3448,6)="MV15AX",LEFT(K3448,4)="CTAX",LEFT(K3448,2)="W|"),2*N3448*O3448,0)</f>
        <v/>
      </c>
      <c r="Z3448" s="12" t="inlineStr"/>
      <c r="AA3448" s="12">
        <f>N3448*O3448</f>
        <v/>
      </c>
    </row>
    <row r="3449">
      <c r="A3449" s="12" t="inlineStr">
        <is>
          <t>G-I-0175</t>
        </is>
      </c>
      <c r="B3449" s="12" t="inlineStr">
        <is>
          <t>G</t>
        </is>
      </c>
      <c r="C3449" s="12" t="inlineStr">
        <is>
          <t>Carbon capture</t>
        </is>
      </c>
      <c r="D3449" s="12" t="inlineStr">
        <is>
          <t>Analog instrument to JB JB-DCC-B-AI01: 20 x 1 pr (field cables)</t>
        </is>
      </c>
      <c r="E3449" s="12" t="inlineStr">
        <is>
          <t>DCC-B</t>
        </is>
      </c>
      <c r="F3449" s="12" t="inlineStr">
        <is>
          <t>DCC-B: direct-contact cooler (quench)</t>
        </is>
      </c>
      <c r="G3449" s="12" t="inlineStr">
        <is>
          <t>JB-DCC-B-AI01</t>
        </is>
      </c>
      <c r="H3449" s="12" t="inlineStr">
        <is>
          <t>DCC-B: direct-contact cooler (quench)</t>
        </is>
      </c>
      <c r="I3449" s="12" t="inlineStr">
        <is>
          <t>Instrumentation</t>
        </is>
      </c>
      <c r="J3449" s="12" t="inlineStr">
        <is>
          <t>Instrumentation PLTC / TC-ER 300 V, #18 twisted shielded pairs, overall shield</t>
        </is>
      </c>
      <c r="K3449" s="12" t="inlineStr">
        <is>
          <t>PLTC|1 pr|16</t>
        </is>
      </c>
      <c r="L3449" s="12" t="inlineStr">
        <is>
          <t>1 pr</t>
        </is>
      </c>
      <c r="M3449" s="12" t="inlineStr">
        <is>
          <t>16</t>
        </is>
      </c>
      <c r="N3449" s="12" t="n">
        <v>20</v>
      </c>
      <c r="O3449" s="12" t="n">
        <v>1</v>
      </c>
      <c r="P3449" s="12" t="n"/>
      <c r="Q3449" s="12" t="n"/>
      <c r="R3449" s="12" t="n"/>
      <c r="S3449" s="12" t="inlineStr">
        <is>
          <t>Tray / conduit</t>
        </is>
      </c>
      <c r="T3449" s="15" t="n">
        <v>121</v>
      </c>
      <c r="U3449" s="15" t="n">
        <v>10</v>
      </c>
      <c r="V3449" s="15">
        <f>ROUNDUP((T3449+U3449+2*'Read Me'!$B$13)*(1+'Read Me'!$B$12),-1)</f>
        <v/>
      </c>
      <c r="W3449" s="15">
        <f>V3449*N3449*O3449</f>
        <v/>
      </c>
      <c r="X3449" s="12">
        <f>IF(LEFT(I3449,2)="MV",2*N3449*IF(L3449="1/C",O3449,1),0)</f>
        <v/>
      </c>
      <c r="Y3449" s="12">
        <f>IF(OR(LEFT(K3449,4)="LVAX",LEFT(K3449,6)="MV15AX",LEFT(K3449,4)="CTAX",LEFT(K3449,2)="W|"),2*N3449*O3449,0)</f>
        <v/>
      </c>
      <c r="Z3449" s="12" t="inlineStr">
        <is>
          <t>device-to-JB field wiring, one cable per device</t>
        </is>
      </c>
      <c r="AA3449" s="12">
        <f>N3449*O3449</f>
        <v/>
      </c>
    </row>
    <row r="3450">
      <c r="A3450" s="12" t="inlineStr">
        <is>
          <t>G-I-0176</t>
        </is>
      </c>
      <c r="B3450" s="12" t="inlineStr">
        <is>
          <t>G</t>
        </is>
      </c>
      <c r="C3450" s="12" t="inlineStr">
        <is>
          <t>Carbon capture</t>
        </is>
      </c>
      <c r="D3450" s="12" t="inlineStr">
        <is>
          <t>Home run JB-DCC-B-AI01 to the control / marshalling room</t>
        </is>
      </c>
      <c r="E3450" s="12" t="inlineStr"/>
      <c r="F3450" s="12" t="inlineStr">
        <is>
          <t>CCS F&amp;G / control</t>
        </is>
      </c>
      <c r="G3450" s="12" t="inlineStr">
        <is>
          <t>JB-DCC-B-AI01</t>
        </is>
      </c>
      <c r="H3450" s="12" t="inlineStr">
        <is>
          <t>DCC-B: direct-contact cooler (quench)</t>
        </is>
      </c>
      <c r="I3450" s="12" t="inlineStr">
        <is>
          <t>Instrumentation</t>
        </is>
      </c>
      <c r="J3450" s="12" t="inlineStr">
        <is>
          <t>Instrumentation PLTC / TC-ER 300 V, #18 twisted shielded pairs, overall shield</t>
        </is>
      </c>
      <c r="K3450" s="12" t="inlineStr">
        <is>
          <t>PLTC|24 pr|18</t>
        </is>
      </c>
      <c r="L3450" s="12" t="inlineStr">
        <is>
          <t>24 pr</t>
        </is>
      </c>
      <c r="M3450" s="12" t="inlineStr">
        <is>
          <t>18</t>
        </is>
      </c>
      <c r="N3450" s="12" t="n">
        <v>1</v>
      </c>
      <c r="O3450" s="12" t="n">
        <v>1</v>
      </c>
      <c r="P3450" s="12" t="n"/>
      <c r="Q3450" s="12" t="n"/>
      <c r="R3450" s="12" t="n"/>
      <c r="S3450" s="12" t="inlineStr">
        <is>
          <t>Duct bank</t>
        </is>
      </c>
      <c r="T3450" s="15" t="n">
        <v>701</v>
      </c>
      <c r="U3450" s="15" t="n">
        <v>129</v>
      </c>
      <c r="V3450" s="15">
        <f>ROUNDUP((T3450+U3450+2*'Read Me'!$B$13)*(1+'Read Me'!$B$12),-1)</f>
        <v/>
      </c>
      <c r="W3450" s="15">
        <f>V3450*N3450*O3450</f>
        <v/>
      </c>
      <c r="X3450" s="12">
        <f>IF(LEFT(I3450,2)="MV",2*N3450*IF(L3450="1/C",O3450,1),0)</f>
        <v/>
      </c>
      <c r="Y3450" s="12">
        <f>IF(OR(LEFT(K3450,4)="LVAX",LEFT(K3450,6)="MV15AX",LEFT(K3450,4)="CTAX",LEFT(K3450,2)="W|"),2*N3450*O3450,0)</f>
        <v/>
      </c>
      <c r="Z3450" s="12" t="inlineStr"/>
      <c r="AA3450" s="12">
        <f>N3450*O3450</f>
        <v/>
      </c>
    </row>
    <row r="3451">
      <c r="A3451" s="12" t="inlineStr">
        <is>
          <t>G-I-0177</t>
        </is>
      </c>
      <c r="B3451" s="12" t="inlineStr">
        <is>
          <t>G</t>
        </is>
      </c>
      <c r="C3451" s="12" t="inlineStr">
        <is>
          <t>Carbon capture</t>
        </is>
      </c>
      <c r="D3451" s="12" t="inlineStr">
        <is>
          <t>Discrete device to JB JB-DCC-B-DI01: 10 x 1 pr (field cables)</t>
        </is>
      </c>
      <c r="E3451" s="12" t="inlineStr">
        <is>
          <t>DCC-B</t>
        </is>
      </c>
      <c r="F3451" s="12" t="inlineStr">
        <is>
          <t>DCC-B: direct-contact cooler (quench)</t>
        </is>
      </c>
      <c r="G3451" s="12" t="inlineStr">
        <is>
          <t>JB-DCC-B-DI01</t>
        </is>
      </c>
      <c r="H3451" s="12" t="inlineStr">
        <is>
          <t>DCC-B: direct-contact cooler (quench)</t>
        </is>
      </c>
      <c r="I3451" s="12" t="inlineStr">
        <is>
          <t>Instrumentation</t>
        </is>
      </c>
      <c r="J3451" s="12" t="inlineStr">
        <is>
          <t>Instrumentation PLTC / TC-ER 300 V, #18 twisted shielded pairs, overall shield</t>
        </is>
      </c>
      <c r="K3451" s="12" t="inlineStr">
        <is>
          <t>PLTC|1 pr|16</t>
        </is>
      </c>
      <c r="L3451" s="12" t="inlineStr">
        <is>
          <t>1 pr</t>
        </is>
      </c>
      <c r="M3451" s="12" t="inlineStr">
        <is>
          <t>16</t>
        </is>
      </c>
      <c r="N3451" s="12" t="n">
        <v>10</v>
      </c>
      <c r="O3451" s="12" t="n">
        <v>1</v>
      </c>
      <c r="P3451" s="12" t="n"/>
      <c r="Q3451" s="12" t="n"/>
      <c r="R3451" s="12" t="n"/>
      <c r="S3451" s="12" t="inlineStr">
        <is>
          <t>Tray / conduit</t>
        </is>
      </c>
      <c r="T3451" s="15" t="n">
        <v>121</v>
      </c>
      <c r="U3451" s="15" t="n">
        <v>10</v>
      </c>
      <c r="V3451" s="15">
        <f>ROUNDUP((T3451+U3451+2*'Read Me'!$B$13)*(1+'Read Me'!$B$12),-1)</f>
        <v/>
      </c>
      <c r="W3451" s="15">
        <f>V3451*N3451*O3451</f>
        <v/>
      </c>
      <c r="X3451" s="12">
        <f>IF(LEFT(I3451,2)="MV",2*N3451*IF(L3451="1/C",O3451,1),0)</f>
        <v/>
      </c>
      <c r="Y3451" s="12">
        <f>IF(OR(LEFT(K3451,4)="LVAX",LEFT(K3451,6)="MV15AX",LEFT(K3451,4)="CTAX",LEFT(K3451,2)="W|"),2*N3451*O3451,0)</f>
        <v/>
      </c>
      <c r="Z3451" s="12" t="inlineStr">
        <is>
          <t>device-to-JB field wiring, one cable per device</t>
        </is>
      </c>
      <c r="AA3451" s="12">
        <f>N3451*O3451</f>
        <v/>
      </c>
    </row>
    <row r="3452">
      <c r="A3452" s="12" t="inlineStr">
        <is>
          <t>G-I-0178</t>
        </is>
      </c>
      <c r="B3452" s="12" t="inlineStr">
        <is>
          <t>G</t>
        </is>
      </c>
      <c r="C3452" s="12" t="inlineStr">
        <is>
          <t>Carbon capture</t>
        </is>
      </c>
      <c r="D3452" s="12" t="inlineStr">
        <is>
          <t>Home run JB-DCC-B-DI01 to the control / marshalling room</t>
        </is>
      </c>
      <c r="E3452" s="12" t="inlineStr"/>
      <c r="F3452" s="12" t="inlineStr">
        <is>
          <t>CCS F&amp;G / control</t>
        </is>
      </c>
      <c r="G3452" s="12" t="inlineStr">
        <is>
          <t>JB-DCC-B-DI01</t>
        </is>
      </c>
      <c r="H3452" s="12" t="inlineStr">
        <is>
          <t>DCC-B: direct-contact cooler (quench)</t>
        </is>
      </c>
      <c r="I3452" s="12" t="inlineStr">
        <is>
          <t>Instrumentation</t>
        </is>
      </c>
      <c r="J3452" s="12" t="inlineStr">
        <is>
          <t>Instrumentation PLTC / TC-ER 300 V, #18 twisted shielded pairs, overall shield</t>
        </is>
      </c>
      <c r="K3452" s="12" t="inlineStr">
        <is>
          <t>PLTC|24 pr|18</t>
        </is>
      </c>
      <c r="L3452" s="12" t="inlineStr">
        <is>
          <t>24 pr</t>
        </is>
      </c>
      <c r="M3452" s="12" t="inlineStr">
        <is>
          <t>18</t>
        </is>
      </c>
      <c r="N3452" s="12" t="n">
        <v>1</v>
      </c>
      <c r="O3452" s="12" t="n">
        <v>1</v>
      </c>
      <c r="P3452" s="12" t="n"/>
      <c r="Q3452" s="12" t="n"/>
      <c r="R3452" s="12" t="n"/>
      <c r="S3452" s="12" t="inlineStr">
        <is>
          <t>Duct bank</t>
        </is>
      </c>
      <c r="T3452" s="15" t="n">
        <v>701</v>
      </c>
      <c r="U3452" s="15" t="n">
        <v>129</v>
      </c>
      <c r="V3452" s="15">
        <f>ROUNDUP((T3452+U3452+2*'Read Me'!$B$13)*(1+'Read Me'!$B$12),-1)</f>
        <v/>
      </c>
      <c r="W3452" s="15">
        <f>V3452*N3452*O3452</f>
        <v/>
      </c>
      <c r="X3452" s="12">
        <f>IF(LEFT(I3452,2)="MV",2*N3452*IF(L3452="1/C",O3452,1),0)</f>
        <v/>
      </c>
      <c r="Y3452" s="12">
        <f>IF(OR(LEFT(K3452,4)="LVAX",LEFT(K3452,6)="MV15AX",LEFT(K3452,4)="CTAX",LEFT(K3452,2)="W|"),2*N3452*O3452,0)</f>
        <v/>
      </c>
      <c r="Z3452" s="12" t="inlineStr"/>
      <c r="AA3452" s="12">
        <f>N3452*O3452</f>
        <v/>
      </c>
    </row>
    <row r="3453">
      <c r="A3453" s="12" t="inlineStr">
        <is>
          <t>G-I-0179</t>
        </is>
      </c>
      <c r="B3453" s="12" t="inlineStr">
        <is>
          <t>G</t>
        </is>
      </c>
      <c r="C3453" s="12" t="inlineStr">
        <is>
          <t>Carbon capture</t>
        </is>
      </c>
      <c r="D3453" s="12" t="inlineStr">
        <is>
          <t>Analog instrument to JB JB-DCC-C pumps + wate-AI01: 10 x 1 pr (field cables)</t>
        </is>
      </c>
      <c r="E3453" s="12" t="inlineStr"/>
      <c r="F3453" s="12" t="inlineStr">
        <is>
          <t>DCC-C pumps + water filter</t>
        </is>
      </c>
      <c r="G3453" s="12" t="inlineStr">
        <is>
          <t>JB-DCC-C pumps + wate-AI01</t>
        </is>
      </c>
      <c r="H3453" s="12" t="inlineStr">
        <is>
          <t>DCC-C pumps + water filter</t>
        </is>
      </c>
      <c r="I3453" s="12" t="inlineStr">
        <is>
          <t>Instrumentation</t>
        </is>
      </c>
      <c r="J3453" s="12" t="inlineStr">
        <is>
          <t>Instrumentation PLTC / TC-ER 300 V, #18 twisted shielded pairs, overall shield</t>
        </is>
      </c>
      <c r="K3453" s="12" t="inlineStr">
        <is>
          <t>PLTC|1 pr|16</t>
        </is>
      </c>
      <c r="L3453" s="12" t="inlineStr">
        <is>
          <t>1 pr</t>
        </is>
      </c>
      <c r="M3453" s="12" t="inlineStr">
        <is>
          <t>16</t>
        </is>
      </c>
      <c r="N3453" s="12" t="n">
        <v>10</v>
      </c>
      <c r="O3453" s="12" t="n">
        <v>1</v>
      </c>
      <c r="P3453" s="12" t="n"/>
      <c r="Q3453" s="12" t="n"/>
      <c r="R3453" s="12" t="n"/>
      <c r="S3453" s="12" t="inlineStr">
        <is>
          <t>Tray / conduit</t>
        </is>
      </c>
      <c r="T3453" s="15" t="n">
        <v>60</v>
      </c>
      <c r="U3453" s="15" t="n">
        <v>10</v>
      </c>
      <c r="V3453" s="15">
        <f>ROUNDUP((T3453+U3453+2*'Read Me'!$B$13)*(1+'Read Me'!$B$12),-1)</f>
        <v/>
      </c>
      <c r="W3453" s="15">
        <f>V3453*N3453*O3453</f>
        <v/>
      </c>
      <c r="X3453" s="12">
        <f>IF(LEFT(I3453,2)="MV",2*N3453*IF(L3453="1/C",O3453,1),0)</f>
        <v/>
      </c>
      <c r="Y3453" s="12">
        <f>IF(OR(LEFT(K3453,4)="LVAX",LEFT(K3453,6)="MV15AX",LEFT(K3453,4)="CTAX",LEFT(K3453,2)="W|"),2*N3453*O3453,0)</f>
        <v/>
      </c>
      <c r="Z3453" s="12" t="inlineStr">
        <is>
          <t>device-to-JB field wiring, one cable per device</t>
        </is>
      </c>
      <c r="AA3453" s="12">
        <f>N3453*O3453</f>
        <v/>
      </c>
    </row>
    <row r="3454">
      <c r="A3454" s="12" t="inlineStr">
        <is>
          <t>G-I-0180</t>
        </is>
      </c>
      <c r="B3454" s="12" t="inlineStr">
        <is>
          <t>G</t>
        </is>
      </c>
      <c r="C3454" s="12" t="inlineStr">
        <is>
          <t>Carbon capture</t>
        </is>
      </c>
      <c r="D3454" s="12" t="inlineStr">
        <is>
          <t>Home run JB-DCC-C pumps + wate-AI01 to the control / marshalling room</t>
        </is>
      </c>
      <c r="E3454" s="12" t="inlineStr"/>
      <c r="F3454" s="12" t="inlineStr">
        <is>
          <t>CCS F&amp;G / control</t>
        </is>
      </c>
      <c r="G3454" s="12" t="inlineStr">
        <is>
          <t>JB-DCC-C pumps + wate-AI01</t>
        </is>
      </c>
      <c r="H3454" s="12" t="inlineStr">
        <is>
          <t>DCC-C pumps + water filter</t>
        </is>
      </c>
      <c r="I3454" s="12" t="inlineStr">
        <is>
          <t>Instrumentation</t>
        </is>
      </c>
      <c r="J3454" s="12" t="inlineStr">
        <is>
          <t>Instrumentation PLTC / TC-ER 300 V, #18 twisted shielded pairs, overall shield</t>
        </is>
      </c>
      <c r="K3454" s="12" t="inlineStr">
        <is>
          <t>PLTC|24 pr|18</t>
        </is>
      </c>
      <c r="L3454" s="12" t="inlineStr">
        <is>
          <t>24 pr</t>
        </is>
      </c>
      <c r="M3454" s="12" t="inlineStr">
        <is>
          <t>18</t>
        </is>
      </c>
      <c r="N3454" s="12" t="n">
        <v>1</v>
      </c>
      <c r="O3454" s="12" t="n">
        <v>1</v>
      </c>
      <c r="P3454" s="12" t="n"/>
      <c r="Q3454" s="12" t="n"/>
      <c r="R3454" s="12" t="n"/>
      <c r="S3454" s="12" t="inlineStr">
        <is>
          <t>Duct bank</t>
        </is>
      </c>
      <c r="T3454" s="15" t="n">
        <v>564</v>
      </c>
      <c r="U3454" s="15" t="n">
        <v>233</v>
      </c>
      <c r="V3454" s="15">
        <f>ROUNDUP((T3454+U3454+2*'Read Me'!$B$13)*(1+'Read Me'!$B$12),-1)</f>
        <v/>
      </c>
      <c r="W3454" s="15">
        <f>V3454*N3454*O3454</f>
        <v/>
      </c>
      <c r="X3454" s="12">
        <f>IF(LEFT(I3454,2)="MV",2*N3454*IF(L3454="1/C",O3454,1),0)</f>
        <v/>
      </c>
      <c r="Y3454" s="12">
        <f>IF(OR(LEFT(K3454,4)="LVAX",LEFT(K3454,6)="MV15AX",LEFT(K3454,4)="CTAX",LEFT(K3454,2)="W|"),2*N3454*O3454,0)</f>
        <v/>
      </c>
      <c r="Z3454" s="12" t="inlineStr"/>
      <c r="AA3454" s="12">
        <f>N3454*O3454</f>
        <v/>
      </c>
    </row>
    <row r="3455">
      <c r="A3455" s="12" t="inlineStr">
        <is>
          <t>G-I-0181</t>
        </is>
      </c>
      <c r="B3455" s="12" t="inlineStr">
        <is>
          <t>G</t>
        </is>
      </c>
      <c r="C3455" s="12" t="inlineStr">
        <is>
          <t>Carbon capture</t>
        </is>
      </c>
      <c r="D3455" s="12" t="inlineStr">
        <is>
          <t>Discrete device to JB JB-DCC-C pumps + wate-DI01: 10 x 1 pr (field cables)</t>
        </is>
      </c>
      <c r="E3455" s="12" t="inlineStr"/>
      <c r="F3455" s="12" t="inlineStr">
        <is>
          <t>DCC-C pumps + water filter</t>
        </is>
      </c>
      <c r="G3455" s="12" t="inlineStr">
        <is>
          <t>JB-DCC-C pumps + wate-DI01</t>
        </is>
      </c>
      <c r="H3455" s="12" t="inlineStr">
        <is>
          <t>DCC-C pumps + water filter</t>
        </is>
      </c>
      <c r="I3455" s="12" t="inlineStr">
        <is>
          <t>Instrumentation</t>
        </is>
      </c>
      <c r="J3455" s="12" t="inlineStr">
        <is>
          <t>Instrumentation PLTC / TC-ER 300 V, #18 twisted shielded pairs, overall shield</t>
        </is>
      </c>
      <c r="K3455" s="12" t="inlineStr">
        <is>
          <t>PLTC|1 pr|16</t>
        </is>
      </c>
      <c r="L3455" s="12" t="inlineStr">
        <is>
          <t>1 pr</t>
        </is>
      </c>
      <c r="M3455" s="12" t="inlineStr">
        <is>
          <t>16</t>
        </is>
      </c>
      <c r="N3455" s="12" t="n">
        <v>10</v>
      </c>
      <c r="O3455" s="12" t="n">
        <v>1</v>
      </c>
      <c r="P3455" s="12" t="n"/>
      <c r="Q3455" s="12" t="n"/>
      <c r="R3455" s="12" t="n"/>
      <c r="S3455" s="12" t="inlineStr">
        <is>
          <t>Tray / conduit</t>
        </is>
      </c>
      <c r="T3455" s="15" t="n">
        <v>60</v>
      </c>
      <c r="U3455" s="15" t="n">
        <v>10</v>
      </c>
      <c r="V3455" s="15">
        <f>ROUNDUP((T3455+U3455+2*'Read Me'!$B$13)*(1+'Read Me'!$B$12),-1)</f>
        <v/>
      </c>
      <c r="W3455" s="15">
        <f>V3455*N3455*O3455</f>
        <v/>
      </c>
      <c r="X3455" s="12">
        <f>IF(LEFT(I3455,2)="MV",2*N3455*IF(L3455="1/C",O3455,1),0)</f>
        <v/>
      </c>
      <c r="Y3455" s="12">
        <f>IF(OR(LEFT(K3455,4)="LVAX",LEFT(K3455,6)="MV15AX",LEFT(K3455,4)="CTAX",LEFT(K3455,2)="W|"),2*N3455*O3455,0)</f>
        <v/>
      </c>
      <c r="Z3455" s="12" t="inlineStr">
        <is>
          <t>device-to-JB field wiring, one cable per device</t>
        </is>
      </c>
      <c r="AA3455" s="12">
        <f>N3455*O3455</f>
        <v/>
      </c>
    </row>
    <row r="3456">
      <c r="A3456" s="12" t="inlineStr">
        <is>
          <t>G-I-0182</t>
        </is>
      </c>
      <c r="B3456" s="12" t="inlineStr">
        <is>
          <t>G</t>
        </is>
      </c>
      <c r="C3456" s="12" t="inlineStr">
        <is>
          <t>Carbon capture</t>
        </is>
      </c>
      <c r="D3456" s="12" t="inlineStr">
        <is>
          <t>Home run JB-DCC-C pumps + wate-DI01 to the control / marshalling room</t>
        </is>
      </c>
      <c r="E3456" s="12" t="inlineStr"/>
      <c r="F3456" s="12" t="inlineStr">
        <is>
          <t>CCS F&amp;G / control</t>
        </is>
      </c>
      <c r="G3456" s="12" t="inlineStr">
        <is>
          <t>JB-DCC-C pumps + wate-DI01</t>
        </is>
      </c>
      <c r="H3456" s="12" t="inlineStr">
        <is>
          <t>DCC-C pumps + water filter</t>
        </is>
      </c>
      <c r="I3456" s="12" t="inlineStr">
        <is>
          <t>Instrumentation</t>
        </is>
      </c>
      <c r="J3456" s="12" t="inlineStr">
        <is>
          <t>Instrumentation PLTC / TC-ER 300 V, #18 twisted shielded pairs, overall shield</t>
        </is>
      </c>
      <c r="K3456" s="12" t="inlineStr">
        <is>
          <t>PLTC|24 pr|18</t>
        </is>
      </c>
      <c r="L3456" s="12" t="inlineStr">
        <is>
          <t>24 pr</t>
        </is>
      </c>
      <c r="M3456" s="12" t="inlineStr">
        <is>
          <t>18</t>
        </is>
      </c>
      <c r="N3456" s="12" t="n">
        <v>1</v>
      </c>
      <c r="O3456" s="12" t="n">
        <v>1</v>
      </c>
      <c r="P3456" s="12" t="n"/>
      <c r="Q3456" s="12" t="n"/>
      <c r="R3456" s="12" t="n"/>
      <c r="S3456" s="12" t="inlineStr">
        <is>
          <t>Duct bank</t>
        </is>
      </c>
      <c r="T3456" s="15" t="n">
        <v>564</v>
      </c>
      <c r="U3456" s="15" t="n">
        <v>233</v>
      </c>
      <c r="V3456" s="15">
        <f>ROUNDUP((T3456+U3456+2*'Read Me'!$B$13)*(1+'Read Me'!$B$12),-1)</f>
        <v/>
      </c>
      <c r="W3456" s="15">
        <f>V3456*N3456*O3456</f>
        <v/>
      </c>
      <c r="X3456" s="12">
        <f>IF(LEFT(I3456,2)="MV",2*N3456*IF(L3456="1/C",O3456,1),0)</f>
        <v/>
      </c>
      <c r="Y3456" s="12">
        <f>IF(OR(LEFT(K3456,4)="LVAX",LEFT(K3456,6)="MV15AX",LEFT(K3456,4)="CTAX",LEFT(K3456,2)="W|"),2*N3456*O3456,0)</f>
        <v/>
      </c>
      <c r="Z3456" s="12" t="inlineStr"/>
      <c r="AA3456" s="12">
        <f>N3456*O3456</f>
        <v/>
      </c>
    </row>
    <row r="3457">
      <c r="A3457" s="12" t="inlineStr">
        <is>
          <t>G-I-0183</t>
        </is>
      </c>
      <c r="B3457" s="12" t="inlineStr">
        <is>
          <t>G</t>
        </is>
      </c>
      <c r="C3457" s="12" t="inlineStr">
        <is>
          <t>Carbon capture</t>
        </is>
      </c>
      <c r="D3457" s="12" t="inlineStr">
        <is>
          <t>Analog instrument to JB JB-DCC-C-AI01: 20 x 1 pr (field cables)</t>
        </is>
      </c>
      <c r="E3457" s="12" t="inlineStr">
        <is>
          <t>DCC-C</t>
        </is>
      </c>
      <c r="F3457" s="12" t="inlineStr">
        <is>
          <t>DCC-C: direct-contact cooler (quench)</t>
        </is>
      </c>
      <c r="G3457" s="12" t="inlineStr">
        <is>
          <t>JB-DCC-C-AI01</t>
        </is>
      </c>
      <c r="H3457" s="12" t="inlineStr">
        <is>
          <t>DCC-C: direct-contact cooler (quench)</t>
        </is>
      </c>
      <c r="I3457" s="12" t="inlineStr">
        <is>
          <t>Instrumentation</t>
        </is>
      </c>
      <c r="J3457" s="12" t="inlineStr">
        <is>
          <t>Instrumentation PLTC / TC-ER 300 V, #18 twisted shielded pairs, overall shield</t>
        </is>
      </c>
      <c r="K3457" s="12" t="inlineStr">
        <is>
          <t>PLTC|1 pr|16</t>
        </is>
      </c>
      <c r="L3457" s="12" t="inlineStr">
        <is>
          <t>1 pr</t>
        </is>
      </c>
      <c r="M3457" s="12" t="inlineStr">
        <is>
          <t>16</t>
        </is>
      </c>
      <c r="N3457" s="12" t="n">
        <v>20</v>
      </c>
      <c r="O3457" s="12" t="n">
        <v>1</v>
      </c>
      <c r="P3457" s="12" t="n"/>
      <c r="Q3457" s="12" t="n"/>
      <c r="R3457" s="12" t="n"/>
      <c r="S3457" s="12" t="inlineStr">
        <is>
          <t>Tray / conduit</t>
        </is>
      </c>
      <c r="T3457" s="15" t="n">
        <v>121</v>
      </c>
      <c r="U3457" s="15" t="n">
        <v>10</v>
      </c>
      <c r="V3457" s="15">
        <f>ROUNDUP((T3457+U3457+2*'Read Me'!$B$13)*(1+'Read Me'!$B$12),-1)</f>
        <v/>
      </c>
      <c r="W3457" s="15">
        <f>V3457*N3457*O3457</f>
        <v/>
      </c>
      <c r="X3457" s="12">
        <f>IF(LEFT(I3457,2)="MV",2*N3457*IF(L3457="1/C",O3457,1),0)</f>
        <v/>
      </c>
      <c r="Y3457" s="12">
        <f>IF(OR(LEFT(K3457,4)="LVAX",LEFT(K3457,6)="MV15AX",LEFT(K3457,4)="CTAX",LEFT(K3457,2)="W|"),2*N3457*O3457,0)</f>
        <v/>
      </c>
      <c r="Z3457" s="12" t="inlineStr">
        <is>
          <t>device-to-JB field wiring, one cable per device</t>
        </is>
      </c>
      <c r="AA3457" s="12">
        <f>N3457*O3457</f>
        <v/>
      </c>
    </row>
    <row r="3458">
      <c r="A3458" s="12" t="inlineStr">
        <is>
          <t>G-I-0184</t>
        </is>
      </c>
      <c r="B3458" s="12" t="inlineStr">
        <is>
          <t>G</t>
        </is>
      </c>
      <c r="C3458" s="12" t="inlineStr">
        <is>
          <t>Carbon capture</t>
        </is>
      </c>
      <c r="D3458" s="12" t="inlineStr">
        <is>
          <t>Home run JB-DCC-C-AI01 to the control / marshalling room</t>
        </is>
      </c>
      <c r="E3458" s="12" t="inlineStr"/>
      <c r="F3458" s="12" t="inlineStr">
        <is>
          <t>CCS F&amp;G / control</t>
        </is>
      </c>
      <c r="G3458" s="12" t="inlineStr">
        <is>
          <t>JB-DCC-C-AI01</t>
        </is>
      </c>
      <c r="H3458" s="12" t="inlineStr">
        <is>
          <t>DCC-C: direct-contact cooler (quench)</t>
        </is>
      </c>
      <c r="I3458" s="12" t="inlineStr">
        <is>
          <t>Instrumentation</t>
        </is>
      </c>
      <c r="J3458" s="12" t="inlineStr">
        <is>
          <t>Instrumentation PLTC / TC-ER 300 V, #18 twisted shielded pairs, overall shield</t>
        </is>
      </c>
      <c r="K3458" s="12" t="inlineStr">
        <is>
          <t>PLTC|24 pr|18</t>
        </is>
      </c>
      <c r="L3458" s="12" t="inlineStr">
        <is>
          <t>24 pr</t>
        </is>
      </c>
      <c r="M3458" s="12" t="inlineStr">
        <is>
          <t>18</t>
        </is>
      </c>
      <c r="N3458" s="12" t="n">
        <v>1</v>
      </c>
      <c r="O3458" s="12" t="n">
        <v>1</v>
      </c>
      <c r="P3458" s="12" t="n"/>
      <c r="Q3458" s="12" t="n"/>
      <c r="R3458" s="12" t="n"/>
      <c r="S3458" s="12" t="inlineStr">
        <is>
          <t>Duct bank</t>
        </is>
      </c>
      <c r="T3458" s="15" t="n">
        <v>541</v>
      </c>
      <c r="U3458" s="15" t="n">
        <v>129</v>
      </c>
      <c r="V3458" s="15">
        <f>ROUNDUP((T3458+U3458+2*'Read Me'!$B$13)*(1+'Read Me'!$B$12),-1)</f>
        <v/>
      </c>
      <c r="W3458" s="15">
        <f>V3458*N3458*O3458</f>
        <v/>
      </c>
      <c r="X3458" s="12">
        <f>IF(LEFT(I3458,2)="MV",2*N3458*IF(L3458="1/C",O3458,1),0)</f>
        <v/>
      </c>
      <c r="Y3458" s="12">
        <f>IF(OR(LEFT(K3458,4)="LVAX",LEFT(K3458,6)="MV15AX",LEFT(K3458,4)="CTAX",LEFT(K3458,2)="W|"),2*N3458*O3458,0)</f>
        <v/>
      </c>
      <c r="Z3458" s="12" t="inlineStr"/>
      <c r="AA3458" s="12">
        <f>N3458*O3458</f>
        <v/>
      </c>
    </row>
    <row r="3459">
      <c r="A3459" s="12" t="inlineStr">
        <is>
          <t>G-I-0185</t>
        </is>
      </c>
      <c r="B3459" s="12" t="inlineStr">
        <is>
          <t>G</t>
        </is>
      </c>
      <c r="C3459" s="12" t="inlineStr">
        <is>
          <t>Carbon capture</t>
        </is>
      </c>
      <c r="D3459" s="12" t="inlineStr">
        <is>
          <t>Discrete device to JB JB-DCC-C-DI01: 10 x 1 pr (field cables)</t>
        </is>
      </c>
      <c r="E3459" s="12" t="inlineStr">
        <is>
          <t>DCC-C</t>
        </is>
      </c>
      <c r="F3459" s="12" t="inlineStr">
        <is>
          <t>DCC-C: direct-contact cooler (quench)</t>
        </is>
      </c>
      <c r="G3459" s="12" t="inlineStr">
        <is>
          <t>JB-DCC-C-DI01</t>
        </is>
      </c>
      <c r="H3459" s="12" t="inlineStr">
        <is>
          <t>DCC-C: direct-contact cooler (quench)</t>
        </is>
      </c>
      <c r="I3459" s="12" t="inlineStr">
        <is>
          <t>Instrumentation</t>
        </is>
      </c>
      <c r="J3459" s="12" t="inlineStr">
        <is>
          <t>Instrumentation PLTC / TC-ER 300 V, #18 twisted shielded pairs, overall shield</t>
        </is>
      </c>
      <c r="K3459" s="12" t="inlineStr">
        <is>
          <t>PLTC|1 pr|16</t>
        </is>
      </c>
      <c r="L3459" s="12" t="inlineStr">
        <is>
          <t>1 pr</t>
        </is>
      </c>
      <c r="M3459" s="12" t="inlineStr">
        <is>
          <t>16</t>
        </is>
      </c>
      <c r="N3459" s="12" t="n">
        <v>10</v>
      </c>
      <c r="O3459" s="12" t="n">
        <v>1</v>
      </c>
      <c r="P3459" s="12" t="n"/>
      <c r="Q3459" s="12" t="n"/>
      <c r="R3459" s="12" t="n"/>
      <c r="S3459" s="12" t="inlineStr">
        <is>
          <t>Tray / conduit</t>
        </is>
      </c>
      <c r="T3459" s="15" t="n">
        <v>121</v>
      </c>
      <c r="U3459" s="15" t="n">
        <v>10</v>
      </c>
      <c r="V3459" s="15">
        <f>ROUNDUP((T3459+U3459+2*'Read Me'!$B$13)*(1+'Read Me'!$B$12),-1)</f>
        <v/>
      </c>
      <c r="W3459" s="15">
        <f>V3459*N3459*O3459</f>
        <v/>
      </c>
      <c r="X3459" s="12">
        <f>IF(LEFT(I3459,2)="MV",2*N3459*IF(L3459="1/C",O3459,1),0)</f>
        <v/>
      </c>
      <c r="Y3459" s="12">
        <f>IF(OR(LEFT(K3459,4)="LVAX",LEFT(K3459,6)="MV15AX",LEFT(K3459,4)="CTAX",LEFT(K3459,2)="W|"),2*N3459*O3459,0)</f>
        <v/>
      </c>
      <c r="Z3459" s="12" t="inlineStr">
        <is>
          <t>device-to-JB field wiring, one cable per device</t>
        </is>
      </c>
      <c r="AA3459" s="12">
        <f>N3459*O3459</f>
        <v/>
      </c>
    </row>
    <row r="3460">
      <c r="A3460" s="12" t="inlineStr">
        <is>
          <t>G-I-0186</t>
        </is>
      </c>
      <c r="B3460" s="12" t="inlineStr">
        <is>
          <t>G</t>
        </is>
      </c>
      <c r="C3460" s="12" t="inlineStr">
        <is>
          <t>Carbon capture</t>
        </is>
      </c>
      <c r="D3460" s="12" t="inlineStr">
        <is>
          <t>Home run JB-DCC-C-DI01 to the control / marshalling room</t>
        </is>
      </c>
      <c r="E3460" s="12" t="inlineStr"/>
      <c r="F3460" s="12" t="inlineStr">
        <is>
          <t>CCS F&amp;G / control</t>
        </is>
      </c>
      <c r="G3460" s="12" t="inlineStr">
        <is>
          <t>JB-DCC-C-DI01</t>
        </is>
      </c>
      <c r="H3460" s="12" t="inlineStr">
        <is>
          <t>DCC-C: direct-contact cooler (quench)</t>
        </is>
      </c>
      <c r="I3460" s="12" t="inlineStr">
        <is>
          <t>Instrumentation</t>
        </is>
      </c>
      <c r="J3460" s="12" t="inlineStr">
        <is>
          <t>Instrumentation PLTC / TC-ER 300 V, #18 twisted shielded pairs, overall shield</t>
        </is>
      </c>
      <c r="K3460" s="12" t="inlineStr">
        <is>
          <t>PLTC|24 pr|18</t>
        </is>
      </c>
      <c r="L3460" s="12" t="inlineStr">
        <is>
          <t>24 pr</t>
        </is>
      </c>
      <c r="M3460" s="12" t="inlineStr">
        <is>
          <t>18</t>
        </is>
      </c>
      <c r="N3460" s="12" t="n">
        <v>1</v>
      </c>
      <c r="O3460" s="12" t="n">
        <v>1</v>
      </c>
      <c r="P3460" s="12" t="n"/>
      <c r="Q3460" s="12" t="n"/>
      <c r="R3460" s="12" t="n"/>
      <c r="S3460" s="12" t="inlineStr">
        <is>
          <t>Duct bank</t>
        </is>
      </c>
      <c r="T3460" s="15" t="n">
        <v>541</v>
      </c>
      <c r="U3460" s="15" t="n">
        <v>129</v>
      </c>
      <c r="V3460" s="15">
        <f>ROUNDUP((T3460+U3460+2*'Read Me'!$B$13)*(1+'Read Me'!$B$12),-1)</f>
        <v/>
      </c>
      <c r="W3460" s="15">
        <f>V3460*N3460*O3460</f>
        <v/>
      </c>
      <c r="X3460" s="12">
        <f>IF(LEFT(I3460,2)="MV",2*N3460*IF(L3460="1/C",O3460,1),0)</f>
        <v/>
      </c>
      <c r="Y3460" s="12">
        <f>IF(OR(LEFT(K3460,4)="LVAX",LEFT(K3460,6)="MV15AX",LEFT(K3460,4)="CTAX",LEFT(K3460,2)="W|"),2*N3460*O3460,0)</f>
        <v/>
      </c>
      <c r="Z3460" s="12" t="inlineStr"/>
      <c r="AA3460" s="12">
        <f>N3460*O3460</f>
        <v/>
      </c>
    </row>
    <row r="3461">
      <c r="A3461" s="12" t="inlineStr">
        <is>
          <t>G-I-0187</t>
        </is>
      </c>
      <c r="B3461" s="12" t="inlineStr">
        <is>
          <t>G</t>
        </is>
      </c>
      <c r="C3461" s="12" t="inlineStr">
        <is>
          <t>Carbon capture</t>
        </is>
      </c>
      <c r="D3461" s="12" t="inlineStr">
        <is>
          <t>Analog instrument to JB JB-DMP-A-AI01: 8 x 1 pr (field cables)</t>
        </is>
      </c>
      <c r="E3461" s="12" t="inlineStr">
        <is>
          <t>DMP-A</t>
        </is>
      </c>
      <c r="F3461" s="12" t="inlineStr">
        <is>
          <t>DMP-A: diverter / bypass damper</t>
        </is>
      </c>
      <c r="G3461" s="12" t="inlineStr">
        <is>
          <t>JB-DMP-A-AI01</t>
        </is>
      </c>
      <c r="H3461" s="12" t="inlineStr">
        <is>
          <t>DMP-A: diverter / bypass damper</t>
        </is>
      </c>
      <c r="I3461" s="12" t="inlineStr">
        <is>
          <t>Instrumentation</t>
        </is>
      </c>
      <c r="J3461" s="12" t="inlineStr">
        <is>
          <t>Instrumentation PLTC / TC-ER 300 V, #18 twisted shielded pairs, overall shield</t>
        </is>
      </c>
      <c r="K3461" s="12" t="inlineStr">
        <is>
          <t>PLTC|1 pr|16</t>
        </is>
      </c>
      <c r="L3461" s="12" t="inlineStr">
        <is>
          <t>1 pr</t>
        </is>
      </c>
      <c r="M3461" s="12" t="inlineStr">
        <is>
          <t>16</t>
        </is>
      </c>
      <c r="N3461" s="12" t="n">
        <v>8</v>
      </c>
      <c r="O3461" s="12" t="n">
        <v>1</v>
      </c>
      <c r="P3461" s="12" t="n"/>
      <c r="Q3461" s="12" t="n"/>
      <c r="R3461" s="12" t="n"/>
      <c r="S3461" s="12" t="inlineStr">
        <is>
          <t>Tray / conduit</t>
        </is>
      </c>
      <c r="T3461" s="15" t="n">
        <v>74</v>
      </c>
      <c r="U3461" s="15" t="n">
        <v>10</v>
      </c>
      <c r="V3461" s="15">
        <f>ROUNDUP((T3461+U3461+2*'Read Me'!$B$13)*(1+'Read Me'!$B$12),-1)</f>
        <v/>
      </c>
      <c r="W3461" s="15">
        <f>V3461*N3461*O3461</f>
        <v/>
      </c>
      <c r="X3461" s="12">
        <f>IF(LEFT(I3461,2)="MV",2*N3461*IF(L3461="1/C",O3461,1),0)</f>
        <v/>
      </c>
      <c r="Y3461" s="12">
        <f>IF(OR(LEFT(K3461,4)="LVAX",LEFT(K3461,6)="MV15AX",LEFT(K3461,4)="CTAX",LEFT(K3461,2)="W|"),2*N3461*O3461,0)</f>
        <v/>
      </c>
      <c r="Z3461" s="12" t="inlineStr">
        <is>
          <t>device-to-JB field wiring, one cable per device</t>
        </is>
      </c>
      <c r="AA3461" s="12">
        <f>N3461*O3461</f>
        <v/>
      </c>
    </row>
    <row r="3462">
      <c r="A3462" s="12" t="inlineStr">
        <is>
          <t>G-I-0188</t>
        </is>
      </c>
      <c r="B3462" s="12" t="inlineStr">
        <is>
          <t>G</t>
        </is>
      </c>
      <c r="C3462" s="12" t="inlineStr">
        <is>
          <t>Carbon capture</t>
        </is>
      </c>
      <c r="D3462" s="12" t="inlineStr">
        <is>
          <t>Home run JB-DMP-A-AI01 to the control / marshalling room</t>
        </is>
      </c>
      <c r="E3462" s="12" t="inlineStr"/>
      <c r="F3462" s="12" t="inlineStr">
        <is>
          <t>CCS F&amp;G / control</t>
        </is>
      </c>
      <c r="G3462" s="12" t="inlineStr">
        <is>
          <t>JB-DMP-A-AI01</t>
        </is>
      </c>
      <c r="H3462" s="12" t="inlineStr">
        <is>
          <t>DMP-A: diverter / bypass damper</t>
        </is>
      </c>
      <c r="I3462" s="12" t="inlineStr">
        <is>
          <t>Instrumentation</t>
        </is>
      </c>
      <c r="J3462" s="12" t="inlineStr">
        <is>
          <t>Instrumentation PLTC / TC-ER 300 V, #18 twisted shielded pairs, overall shield</t>
        </is>
      </c>
      <c r="K3462" s="12" t="inlineStr">
        <is>
          <t>PLTC|24 pr|18</t>
        </is>
      </c>
      <c r="L3462" s="12" t="inlineStr">
        <is>
          <t>24 pr</t>
        </is>
      </c>
      <c r="M3462" s="12" t="inlineStr">
        <is>
          <t>18</t>
        </is>
      </c>
      <c r="N3462" s="12" t="n">
        <v>1</v>
      </c>
      <c r="O3462" s="12" t="n">
        <v>1</v>
      </c>
      <c r="P3462" s="12" t="n"/>
      <c r="Q3462" s="12" t="n"/>
      <c r="R3462" s="12" t="n"/>
      <c r="S3462" s="12" t="inlineStr">
        <is>
          <t>Tray</t>
        </is>
      </c>
      <c r="T3462" s="15" t="n">
        <v>1230</v>
      </c>
      <c r="U3462" s="15" t="n">
        <v>193</v>
      </c>
      <c r="V3462" s="15">
        <f>ROUNDUP((T3462+U3462+2*'Read Me'!$B$13)*(1+'Read Me'!$B$12),-1)</f>
        <v/>
      </c>
      <c r="W3462" s="15">
        <f>V3462*N3462*O3462</f>
        <v/>
      </c>
      <c r="X3462" s="12">
        <f>IF(LEFT(I3462,2)="MV",2*N3462*IF(L3462="1/C",O3462,1),0)</f>
        <v/>
      </c>
      <c r="Y3462" s="12">
        <f>IF(OR(LEFT(K3462,4)="LVAX",LEFT(K3462,6)="MV15AX",LEFT(K3462,4)="CTAX",LEFT(K3462,2)="W|"),2*N3462*O3462,0)</f>
        <v/>
      </c>
      <c r="Z3462" s="12" t="inlineStr"/>
      <c r="AA3462" s="12">
        <f>N3462*O3462</f>
        <v/>
      </c>
    </row>
    <row r="3463">
      <c r="A3463" s="12" t="inlineStr">
        <is>
          <t>G-I-0189</t>
        </is>
      </c>
      <c r="B3463" s="12" t="inlineStr">
        <is>
          <t>G</t>
        </is>
      </c>
      <c r="C3463" s="12" t="inlineStr">
        <is>
          <t>Carbon capture</t>
        </is>
      </c>
      <c r="D3463" s="12" t="inlineStr">
        <is>
          <t>Discrete device to JB JB-DMP-A-DI01: 16 x 1 pr (field cables)</t>
        </is>
      </c>
      <c r="E3463" s="12" t="inlineStr">
        <is>
          <t>DMP-A</t>
        </is>
      </c>
      <c r="F3463" s="12" t="inlineStr">
        <is>
          <t>DMP-A: diverter / bypass damper</t>
        </is>
      </c>
      <c r="G3463" s="12" t="inlineStr">
        <is>
          <t>JB-DMP-A-DI01</t>
        </is>
      </c>
      <c r="H3463" s="12" t="inlineStr">
        <is>
          <t>DMP-A: diverter / bypass damper</t>
        </is>
      </c>
      <c r="I3463" s="12" t="inlineStr">
        <is>
          <t>Instrumentation</t>
        </is>
      </c>
      <c r="J3463" s="12" t="inlineStr">
        <is>
          <t>Instrumentation PLTC / TC-ER 300 V, #18 twisted shielded pairs, overall shield</t>
        </is>
      </c>
      <c r="K3463" s="12" t="inlineStr">
        <is>
          <t>PLTC|1 pr|16</t>
        </is>
      </c>
      <c r="L3463" s="12" t="inlineStr">
        <is>
          <t>1 pr</t>
        </is>
      </c>
      <c r="M3463" s="12" t="inlineStr">
        <is>
          <t>16</t>
        </is>
      </c>
      <c r="N3463" s="12" t="n">
        <v>16</v>
      </c>
      <c r="O3463" s="12" t="n">
        <v>1</v>
      </c>
      <c r="P3463" s="12" t="n"/>
      <c r="Q3463" s="12" t="n"/>
      <c r="R3463" s="12" t="n"/>
      <c r="S3463" s="12" t="inlineStr">
        <is>
          <t>Tray / conduit</t>
        </is>
      </c>
      <c r="T3463" s="15" t="n">
        <v>74</v>
      </c>
      <c r="U3463" s="15" t="n">
        <v>10</v>
      </c>
      <c r="V3463" s="15">
        <f>ROUNDUP((T3463+U3463+2*'Read Me'!$B$13)*(1+'Read Me'!$B$12),-1)</f>
        <v/>
      </c>
      <c r="W3463" s="15">
        <f>V3463*N3463*O3463</f>
        <v/>
      </c>
      <c r="X3463" s="12">
        <f>IF(LEFT(I3463,2)="MV",2*N3463*IF(L3463="1/C",O3463,1),0)</f>
        <v/>
      </c>
      <c r="Y3463" s="12">
        <f>IF(OR(LEFT(K3463,4)="LVAX",LEFT(K3463,6)="MV15AX",LEFT(K3463,4)="CTAX",LEFT(K3463,2)="W|"),2*N3463*O3463,0)</f>
        <v/>
      </c>
      <c r="Z3463" s="12" t="inlineStr">
        <is>
          <t>device-to-JB field wiring, one cable per device</t>
        </is>
      </c>
      <c r="AA3463" s="12">
        <f>N3463*O3463</f>
        <v/>
      </c>
    </row>
    <row r="3464">
      <c r="A3464" s="12" t="inlineStr">
        <is>
          <t>G-I-0190</t>
        </is>
      </c>
      <c r="B3464" s="12" t="inlineStr">
        <is>
          <t>G</t>
        </is>
      </c>
      <c r="C3464" s="12" t="inlineStr">
        <is>
          <t>Carbon capture</t>
        </is>
      </c>
      <c r="D3464" s="12" t="inlineStr">
        <is>
          <t>Home run JB-DMP-A-DI01 to the control / marshalling room</t>
        </is>
      </c>
      <c r="E3464" s="12" t="inlineStr"/>
      <c r="F3464" s="12" t="inlineStr">
        <is>
          <t>CCS F&amp;G / control</t>
        </is>
      </c>
      <c r="G3464" s="12" t="inlineStr">
        <is>
          <t>JB-DMP-A-DI01</t>
        </is>
      </c>
      <c r="H3464" s="12" t="inlineStr">
        <is>
          <t>DMP-A: diverter / bypass damper</t>
        </is>
      </c>
      <c r="I3464" s="12" t="inlineStr">
        <is>
          <t>Instrumentation</t>
        </is>
      </c>
      <c r="J3464" s="12" t="inlineStr">
        <is>
          <t>Instrumentation PLTC / TC-ER 300 V, #18 twisted shielded pairs, overall shield</t>
        </is>
      </c>
      <c r="K3464" s="12" t="inlineStr">
        <is>
          <t>PLTC|24 pr|18</t>
        </is>
      </c>
      <c r="L3464" s="12" t="inlineStr">
        <is>
          <t>24 pr</t>
        </is>
      </c>
      <c r="M3464" s="12" t="inlineStr">
        <is>
          <t>18</t>
        </is>
      </c>
      <c r="N3464" s="12" t="n">
        <v>1</v>
      </c>
      <c r="O3464" s="12" t="n">
        <v>1</v>
      </c>
      <c r="P3464" s="12" t="n"/>
      <c r="Q3464" s="12" t="n"/>
      <c r="R3464" s="12" t="n"/>
      <c r="S3464" s="12" t="inlineStr">
        <is>
          <t>Tray</t>
        </is>
      </c>
      <c r="T3464" s="15" t="n">
        <v>1230</v>
      </c>
      <c r="U3464" s="15" t="n">
        <v>193</v>
      </c>
      <c r="V3464" s="15">
        <f>ROUNDUP((T3464+U3464+2*'Read Me'!$B$13)*(1+'Read Me'!$B$12),-1)</f>
        <v/>
      </c>
      <c r="W3464" s="15">
        <f>V3464*N3464*O3464</f>
        <v/>
      </c>
      <c r="X3464" s="12">
        <f>IF(LEFT(I3464,2)="MV",2*N3464*IF(L3464="1/C",O3464,1),0)</f>
        <v/>
      </c>
      <c r="Y3464" s="12">
        <f>IF(OR(LEFT(K3464,4)="LVAX",LEFT(K3464,6)="MV15AX",LEFT(K3464,4)="CTAX",LEFT(K3464,2)="W|"),2*N3464*O3464,0)</f>
        <v/>
      </c>
      <c r="Z3464" s="12" t="inlineStr"/>
      <c r="AA3464" s="12">
        <f>N3464*O3464</f>
        <v/>
      </c>
    </row>
    <row r="3465">
      <c r="A3465" s="12" t="inlineStr">
        <is>
          <t>G-I-0191</t>
        </is>
      </c>
      <c r="B3465" s="12" t="inlineStr">
        <is>
          <t>G</t>
        </is>
      </c>
      <c r="C3465" s="12" t="inlineStr">
        <is>
          <t>Carbon capture</t>
        </is>
      </c>
      <c r="D3465" s="12" t="inlineStr">
        <is>
          <t>Analog instrument to JB JB-DMP-B-AI01: 8 x 1 pr (field cables)</t>
        </is>
      </c>
      <c r="E3465" s="12" t="inlineStr">
        <is>
          <t>DMP-B</t>
        </is>
      </c>
      <c r="F3465" s="12" t="inlineStr">
        <is>
          <t>DMP-B: diverter / bypass damper</t>
        </is>
      </c>
      <c r="G3465" s="12" t="inlineStr">
        <is>
          <t>JB-DMP-B-AI01</t>
        </is>
      </c>
      <c r="H3465" s="12" t="inlineStr">
        <is>
          <t>DMP-B: diverter / bypass damper</t>
        </is>
      </c>
      <c r="I3465" s="12" t="inlineStr">
        <is>
          <t>Instrumentation</t>
        </is>
      </c>
      <c r="J3465" s="12" t="inlineStr">
        <is>
          <t>Instrumentation PLTC / TC-ER 300 V, #18 twisted shielded pairs, overall shield</t>
        </is>
      </c>
      <c r="K3465" s="12" t="inlineStr">
        <is>
          <t>PLTC|1 pr|16</t>
        </is>
      </c>
      <c r="L3465" s="12" t="inlineStr">
        <is>
          <t>1 pr</t>
        </is>
      </c>
      <c r="M3465" s="12" t="inlineStr">
        <is>
          <t>16</t>
        </is>
      </c>
      <c r="N3465" s="12" t="n">
        <v>8</v>
      </c>
      <c r="O3465" s="12" t="n">
        <v>1</v>
      </c>
      <c r="P3465" s="12" t="n"/>
      <c r="Q3465" s="12" t="n"/>
      <c r="R3465" s="12" t="n"/>
      <c r="S3465" s="12" t="inlineStr">
        <is>
          <t>Tray / conduit</t>
        </is>
      </c>
      <c r="T3465" s="15" t="n">
        <v>74</v>
      </c>
      <c r="U3465" s="15" t="n">
        <v>10</v>
      </c>
      <c r="V3465" s="15">
        <f>ROUNDUP((T3465+U3465+2*'Read Me'!$B$13)*(1+'Read Me'!$B$12),-1)</f>
        <v/>
      </c>
      <c r="W3465" s="15">
        <f>V3465*N3465*O3465</f>
        <v/>
      </c>
      <c r="X3465" s="12">
        <f>IF(LEFT(I3465,2)="MV",2*N3465*IF(L3465="1/C",O3465,1),0)</f>
        <v/>
      </c>
      <c r="Y3465" s="12">
        <f>IF(OR(LEFT(K3465,4)="LVAX",LEFT(K3465,6)="MV15AX",LEFT(K3465,4)="CTAX",LEFT(K3465,2)="W|"),2*N3465*O3465,0)</f>
        <v/>
      </c>
      <c r="Z3465" s="12" t="inlineStr">
        <is>
          <t>device-to-JB field wiring, one cable per device</t>
        </is>
      </c>
      <c r="AA3465" s="12">
        <f>N3465*O3465</f>
        <v/>
      </c>
    </row>
    <row r="3466">
      <c r="A3466" s="12" t="inlineStr">
        <is>
          <t>G-I-0192</t>
        </is>
      </c>
      <c r="B3466" s="12" t="inlineStr">
        <is>
          <t>G</t>
        </is>
      </c>
      <c r="C3466" s="12" t="inlineStr">
        <is>
          <t>Carbon capture</t>
        </is>
      </c>
      <c r="D3466" s="12" t="inlineStr">
        <is>
          <t>Home run JB-DMP-B-AI01 to the control / marshalling room</t>
        </is>
      </c>
      <c r="E3466" s="12" t="inlineStr"/>
      <c r="F3466" s="12" t="inlineStr">
        <is>
          <t>CCS F&amp;G / control</t>
        </is>
      </c>
      <c r="G3466" s="12" t="inlineStr">
        <is>
          <t>JB-DMP-B-AI01</t>
        </is>
      </c>
      <c r="H3466" s="12" t="inlineStr">
        <is>
          <t>DMP-B: diverter / bypass damper</t>
        </is>
      </c>
      <c r="I3466" s="12" t="inlineStr">
        <is>
          <t>Instrumentation</t>
        </is>
      </c>
      <c r="J3466" s="12" t="inlineStr">
        <is>
          <t>Instrumentation PLTC / TC-ER 300 V, #18 twisted shielded pairs, overall shield</t>
        </is>
      </c>
      <c r="K3466" s="12" t="inlineStr">
        <is>
          <t>PLTC|24 pr|18</t>
        </is>
      </c>
      <c r="L3466" s="12" t="inlineStr">
        <is>
          <t>24 pr</t>
        </is>
      </c>
      <c r="M3466" s="12" t="inlineStr">
        <is>
          <t>18</t>
        </is>
      </c>
      <c r="N3466" s="12" t="n">
        <v>1</v>
      </c>
      <c r="O3466" s="12" t="n">
        <v>1</v>
      </c>
      <c r="P3466" s="12" t="n"/>
      <c r="Q3466" s="12" t="n"/>
      <c r="R3466" s="12" t="n"/>
      <c r="S3466" s="12" t="inlineStr">
        <is>
          <t>Duct bank</t>
        </is>
      </c>
      <c r="T3466" s="15" t="n">
        <v>1074</v>
      </c>
      <c r="U3466" s="15" t="n">
        <v>189</v>
      </c>
      <c r="V3466" s="15">
        <f>ROUNDUP((T3466+U3466+2*'Read Me'!$B$13)*(1+'Read Me'!$B$12),-1)</f>
        <v/>
      </c>
      <c r="W3466" s="15">
        <f>V3466*N3466*O3466</f>
        <v/>
      </c>
      <c r="X3466" s="12">
        <f>IF(LEFT(I3466,2)="MV",2*N3466*IF(L3466="1/C",O3466,1),0)</f>
        <v/>
      </c>
      <c r="Y3466" s="12">
        <f>IF(OR(LEFT(K3466,4)="LVAX",LEFT(K3466,6)="MV15AX",LEFT(K3466,4)="CTAX",LEFT(K3466,2)="W|"),2*N3466*O3466,0)</f>
        <v/>
      </c>
      <c r="Z3466" s="12" t="inlineStr"/>
      <c r="AA3466" s="12">
        <f>N3466*O3466</f>
        <v/>
      </c>
    </row>
    <row r="3467">
      <c r="A3467" s="12" t="inlineStr">
        <is>
          <t>G-I-0193</t>
        </is>
      </c>
      <c r="B3467" s="12" t="inlineStr">
        <is>
          <t>G</t>
        </is>
      </c>
      <c r="C3467" s="12" t="inlineStr">
        <is>
          <t>Carbon capture</t>
        </is>
      </c>
      <c r="D3467" s="12" t="inlineStr">
        <is>
          <t>Discrete device to JB JB-DMP-B-DI01: 16 x 1 pr (field cables)</t>
        </is>
      </c>
      <c r="E3467" s="12" t="inlineStr">
        <is>
          <t>DMP-B</t>
        </is>
      </c>
      <c r="F3467" s="12" t="inlineStr">
        <is>
          <t>DMP-B: diverter / bypass damper</t>
        </is>
      </c>
      <c r="G3467" s="12" t="inlineStr">
        <is>
          <t>JB-DMP-B-DI01</t>
        </is>
      </c>
      <c r="H3467" s="12" t="inlineStr">
        <is>
          <t>DMP-B: diverter / bypass damper</t>
        </is>
      </c>
      <c r="I3467" s="12" t="inlineStr">
        <is>
          <t>Instrumentation</t>
        </is>
      </c>
      <c r="J3467" s="12" t="inlineStr">
        <is>
          <t>Instrumentation PLTC / TC-ER 300 V, #18 twisted shielded pairs, overall shield</t>
        </is>
      </c>
      <c r="K3467" s="12" t="inlineStr">
        <is>
          <t>PLTC|1 pr|16</t>
        </is>
      </c>
      <c r="L3467" s="12" t="inlineStr">
        <is>
          <t>1 pr</t>
        </is>
      </c>
      <c r="M3467" s="12" t="inlineStr">
        <is>
          <t>16</t>
        </is>
      </c>
      <c r="N3467" s="12" t="n">
        <v>16</v>
      </c>
      <c r="O3467" s="12" t="n">
        <v>1</v>
      </c>
      <c r="P3467" s="12" t="n"/>
      <c r="Q3467" s="12" t="n"/>
      <c r="R3467" s="12" t="n"/>
      <c r="S3467" s="12" t="inlineStr">
        <is>
          <t>Tray / conduit</t>
        </is>
      </c>
      <c r="T3467" s="15" t="n">
        <v>74</v>
      </c>
      <c r="U3467" s="15" t="n">
        <v>10</v>
      </c>
      <c r="V3467" s="15">
        <f>ROUNDUP((T3467+U3467+2*'Read Me'!$B$13)*(1+'Read Me'!$B$12),-1)</f>
        <v/>
      </c>
      <c r="W3467" s="15">
        <f>V3467*N3467*O3467</f>
        <v/>
      </c>
      <c r="X3467" s="12">
        <f>IF(LEFT(I3467,2)="MV",2*N3467*IF(L3467="1/C",O3467,1),0)</f>
        <v/>
      </c>
      <c r="Y3467" s="12">
        <f>IF(OR(LEFT(K3467,4)="LVAX",LEFT(K3467,6)="MV15AX",LEFT(K3467,4)="CTAX",LEFT(K3467,2)="W|"),2*N3467*O3467,0)</f>
        <v/>
      </c>
      <c r="Z3467" s="12" t="inlineStr">
        <is>
          <t>device-to-JB field wiring, one cable per device</t>
        </is>
      </c>
      <c r="AA3467" s="12">
        <f>N3467*O3467</f>
        <v/>
      </c>
    </row>
    <row r="3468">
      <c r="A3468" s="12" t="inlineStr">
        <is>
          <t>G-I-0194</t>
        </is>
      </c>
      <c r="B3468" s="12" t="inlineStr">
        <is>
          <t>G</t>
        </is>
      </c>
      <c r="C3468" s="12" t="inlineStr">
        <is>
          <t>Carbon capture</t>
        </is>
      </c>
      <c r="D3468" s="12" t="inlineStr">
        <is>
          <t>Home run JB-DMP-B-DI01 to the control / marshalling room</t>
        </is>
      </c>
      <c r="E3468" s="12" t="inlineStr"/>
      <c r="F3468" s="12" t="inlineStr">
        <is>
          <t>CCS F&amp;G / control</t>
        </is>
      </c>
      <c r="G3468" s="12" t="inlineStr">
        <is>
          <t>JB-DMP-B-DI01</t>
        </is>
      </c>
      <c r="H3468" s="12" t="inlineStr">
        <is>
          <t>DMP-B: diverter / bypass damper</t>
        </is>
      </c>
      <c r="I3468" s="12" t="inlineStr">
        <is>
          <t>Instrumentation</t>
        </is>
      </c>
      <c r="J3468" s="12" t="inlineStr">
        <is>
          <t>Instrumentation PLTC / TC-ER 300 V, #18 twisted shielded pairs, overall shield</t>
        </is>
      </c>
      <c r="K3468" s="12" t="inlineStr">
        <is>
          <t>PLTC|24 pr|18</t>
        </is>
      </c>
      <c r="L3468" s="12" t="inlineStr">
        <is>
          <t>24 pr</t>
        </is>
      </c>
      <c r="M3468" s="12" t="inlineStr">
        <is>
          <t>18</t>
        </is>
      </c>
      <c r="N3468" s="12" t="n">
        <v>1</v>
      </c>
      <c r="O3468" s="12" t="n">
        <v>1</v>
      </c>
      <c r="P3468" s="12" t="n"/>
      <c r="Q3468" s="12" t="n"/>
      <c r="R3468" s="12" t="n"/>
      <c r="S3468" s="12" t="inlineStr">
        <is>
          <t>Duct bank</t>
        </is>
      </c>
      <c r="T3468" s="15" t="n">
        <v>1074</v>
      </c>
      <c r="U3468" s="15" t="n">
        <v>189</v>
      </c>
      <c r="V3468" s="15">
        <f>ROUNDUP((T3468+U3468+2*'Read Me'!$B$13)*(1+'Read Me'!$B$12),-1)</f>
        <v/>
      </c>
      <c r="W3468" s="15">
        <f>V3468*N3468*O3468</f>
        <v/>
      </c>
      <c r="X3468" s="12">
        <f>IF(LEFT(I3468,2)="MV",2*N3468*IF(L3468="1/C",O3468,1),0)</f>
        <v/>
      </c>
      <c r="Y3468" s="12">
        <f>IF(OR(LEFT(K3468,4)="LVAX",LEFT(K3468,6)="MV15AX",LEFT(K3468,4)="CTAX",LEFT(K3468,2)="W|"),2*N3468*O3468,0)</f>
        <v/>
      </c>
      <c r="Z3468" s="12" t="inlineStr"/>
      <c r="AA3468" s="12">
        <f>N3468*O3468</f>
        <v/>
      </c>
    </row>
    <row r="3469">
      <c r="A3469" s="12" t="inlineStr">
        <is>
          <t>G-I-0195</t>
        </is>
      </c>
      <c r="B3469" s="12" t="inlineStr">
        <is>
          <t>G</t>
        </is>
      </c>
      <c r="C3469" s="12" t="inlineStr">
        <is>
          <t>Carbon capture</t>
        </is>
      </c>
      <c r="D3469" s="12" t="inlineStr">
        <is>
          <t>Analog instrument to JB JB-DMP-C-AI01: 8 x 1 pr (field cables)</t>
        </is>
      </c>
      <c r="E3469" s="12" t="inlineStr">
        <is>
          <t>DMP-C</t>
        </is>
      </c>
      <c r="F3469" s="12" t="inlineStr">
        <is>
          <t>DMP-C: diverter / bypass damper</t>
        </is>
      </c>
      <c r="G3469" s="12" t="inlineStr">
        <is>
          <t>JB-DMP-C-AI01</t>
        </is>
      </c>
      <c r="H3469" s="12" t="inlineStr">
        <is>
          <t>DMP-C: diverter / bypass damper</t>
        </is>
      </c>
      <c r="I3469" s="12" t="inlineStr">
        <is>
          <t>Instrumentation</t>
        </is>
      </c>
      <c r="J3469" s="12" t="inlineStr">
        <is>
          <t>Instrumentation PLTC / TC-ER 300 V, #18 twisted shielded pairs, overall shield</t>
        </is>
      </c>
      <c r="K3469" s="12" t="inlineStr">
        <is>
          <t>PLTC|1 pr|16</t>
        </is>
      </c>
      <c r="L3469" s="12" t="inlineStr">
        <is>
          <t>1 pr</t>
        </is>
      </c>
      <c r="M3469" s="12" t="inlineStr">
        <is>
          <t>16</t>
        </is>
      </c>
      <c r="N3469" s="12" t="n">
        <v>8</v>
      </c>
      <c r="O3469" s="12" t="n">
        <v>1</v>
      </c>
      <c r="P3469" s="12" t="n"/>
      <c r="Q3469" s="12" t="n"/>
      <c r="R3469" s="12" t="n"/>
      <c r="S3469" s="12" t="inlineStr">
        <is>
          <t>Tray / conduit</t>
        </is>
      </c>
      <c r="T3469" s="15" t="n">
        <v>74</v>
      </c>
      <c r="U3469" s="15" t="n">
        <v>10</v>
      </c>
      <c r="V3469" s="15">
        <f>ROUNDUP((T3469+U3469+2*'Read Me'!$B$13)*(1+'Read Me'!$B$12),-1)</f>
        <v/>
      </c>
      <c r="W3469" s="15">
        <f>V3469*N3469*O3469</f>
        <v/>
      </c>
      <c r="X3469" s="12">
        <f>IF(LEFT(I3469,2)="MV",2*N3469*IF(L3469="1/C",O3469,1),0)</f>
        <v/>
      </c>
      <c r="Y3469" s="12">
        <f>IF(OR(LEFT(K3469,4)="LVAX",LEFT(K3469,6)="MV15AX",LEFT(K3469,4)="CTAX",LEFT(K3469,2)="W|"),2*N3469*O3469,0)</f>
        <v/>
      </c>
      <c r="Z3469" s="12" t="inlineStr">
        <is>
          <t>device-to-JB field wiring, one cable per device</t>
        </is>
      </c>
      <c r="AA3469" s="12">
        <f>N3469*O3469</f>
        <v/>
      </c>
    </row>
    <row r="3470">
      <c r="A3470" s="12" t="inlineStr">
        <is>
          <t>G-I-0196</t>
        </is>
      </c>
      <c r="B3470" s="12" t="inlineStr">
        <is>
          <t>G</t>
        </is>
      </c>
      <c r="C3470" s="12" t="inlineStr">
        <is>
          <t>Carbon capture</t>
        </is>
      </c>
      <c r="D3470" s="12" t="inlineStr">
        <is>
          <t>Home run JB-DMP-C-AI01 to the control / marshalling room</t>
        </is>
      </c>
      <c r="E3470" s="12" t="inlineStr"/>
      <c r="F3470" s="12" t="inlineStr">
        <is>
          <t>CCS F&amp;G / control</t>
        </is>
      </c>
      <c r="G3470" s="12" t="inlineStr">
        <is>
          <t>JB-DMP-C-AI01</t>
        </is>
      </c>
      <c r="H3470" s="12" t="inlineStr">
        <is>
          <t>DMP-C: diverter / bypass damper</t>
        </is>
      </c>
      <c r="I3470" s="12" t="inlineStr">
        <is>
          <t>Instrumentation</t>
        </is>
      </c>
      <c r="J3470" s="12" t="inlineStr">
        <is>
          <t>Instrumentation PLTC / TC-ER 300 V, #18 twisted shielded pairs, overall shield</t>
        </is>
      </c>
      <c r="K3470" s="12" t="inlineStr">
        <is>
          <t>PLTC|24 pr|18</t>
        </is>
      </c>
      <c r="L3470" s="12" t="inlineStr">
        <is>
          <t>24 pr</t>
        </is>
      </c>
      <c r="M3470" s="12" t="inlineStr">
        <is>
          <t>18</t>
        </is>
      </c>
      <c r="N3470" s="12" t="n">
        <v>1</v>
      </c>
      <c r="O3470" s="12" t="n">
        <v>1</v>
      </c>
      <c r="P3470" s="12" t="n"/>
      <c r="Q3470" s="12" t="n"/>
      <c r="R3470" s="12" t="n"/>
      <c r="S3470" s="12" t="inlineStr">
        <is>
          <t>Duct bank</t>
        </is>
      </c>
      <c r="T3470" s="15" t="n">
        <v>910</v>
      </c>
      <c r="U3470" s="15" t="n">
        <v>193</v>
      </c>
      <c r="V3470" s="15">
        <f>ROUNDUP((T3470+U3470+2*'Read Me'!$B$13)*(1+'Read Me'!$B$12),-1)</f>
        <v/>
      </c>
      <c r="W3470" s="15">
        <f>V3470*N3470*O3470</f>
        <v/>
      </c>
      <c r="X3470" s="12">
        <f>IF(LEFT(I3470,2)="MV",2*N3470*IF(L3470="1/C",O3470,1),0)</f>
        <v/>
      </c>
      <c r="Y3470" s="12">
        <f>IF(OR(LEFT(K3470,4)="LVAX",LEFT(K3470,6)="MV15AX",LEFT(K3470,4)="CTAX",LEFT(K3470,2)="W|"),2*N3470*O3470,0)</f>
        <v/>
      </c>
      <c r="Z3470" s="12" t="inlineStr"/>
      <c r="AA3470" s="12">
        <f>N3470*O3470</f>
        <v/>
      </c>
    </row>
    <row r="3471">
      <c r="A3471" s="12" t="inlineStr">
        <is>
          <t>G-I-0197</t>
        </is>
      </c>
      <c r="B3471" s="12" t="inlineStr">
        <is>
          <t>G</t>
        </is>
      </c>
      <c r="C3471" s="12" t="inlineStr">
        <is>
          <t>Carbon capture</t>
        </is>
      </c>
      <c r="D3471" s="12" t="inlineStr">
        <is>
          <t>Discrete device to JB JB-DMP-C-DI01: 16 x 1 pr (field cables)</t>
        </is>
      </c>
      <c r="E3471" s="12" t="inlineStr">
        <is>
          <t>DMP-C</t>
        </is>
      </c>
      <c r="F3471" s="12" t="inlineStr">
        <is>
          <t>DMP-C: diverter / bypass damper</t>
        </is>
      </c>
      <c r="G3471" s="12" t="inlineStr">
        <is>
          <t>JB-DMP-C-DI01</t>
        </is>
      </c>
      <c r="H3471" s="12" t="inlineStr">
        <is>
          <t>DMP-C: diverter / bypass damper</t>
        </is>
      </c>
      <c r="I3471" s="12" t="inlineStr">
        <is>
          <t>Instrumentation</t>
        </is>
      </c>
      <c r="J3471" s="12" t="inlineStr">
        <is>
          <t>Instrumentation PLTC / TC-ER 300 V, #18 twisted shielded pairs, overall shield</t>
        </is>
      </c>
      <c r="K3471" s="12" t="inlineStr">
        <is>
          <t>PLTC|1 pr|16</t>
        </is>
      </c>
      <c r="L3471" s="12" t="inlineStr">
        <is>
          <t>1 pr</t>
        </is>
      </c>
      <c r="M3471" s="12" t="inlineStr">
        <is>
          <t>16</t>
        </is>
      </c>
      <c r="N3471" s="12" t="n">
        <v>16</v>
      </c>
      <c r="O3471" s="12" t="n">
        <v>1</v>
      </c>
      <c r="P3471" s="12" t="n"/>
      <c r="Q3471" s="12" t="n"/>
      <c r="R3471" s="12" t="n"/>
      <c r="S3471" s="12" t="inlineStr">
        <is>
          <t>Tray / conduit</t>
        </is>
      </c>
      <c r="T3471" s="15" t="n">
        <v>74</v>
      </c>
      <c r="U3471" s="15" t="n">
        <v>10</v>
      </c>
      <c r="V3471" s="15">
        <f>ROUNDUP((T3471+U3471+2*'Read Me'!$B$13)*(1+'Read Me'!$B$12),-1)</f>
        <v/>
      </c>
      <c r="W3471" s="15">
        <f>V3471*N3471*O3471</f>
        <v/>
      </c>
      <c r="X3471" s="12">
        <f>IF(LEFT(I3471,2)="MV",2*N3471*IF(L3471="1/C",O3471,1),0)</f>
        <v/>
      </c>
      <c r="Y3471" s="12">
        <f>IF(OR(LEFT(K3471,4)="LVAX",LEFT(K3471,6)="MV15AX",LEFT(K3471,4)="CTAX",LEFT(K3471,2)="W|"),2*N3471*O3471,0)</f>
        <v/>
      </c>
      <c r="Z3471" s="12" t="inlineStr">
        <is>
          <t>device-to-JB field wiring, one cable per device</t>
        </is>
      </c>
      <c r="AA3471" s="12">
        <f>N3471*O3471</f>
        <v/>
      </c>
    </row>
    <row r="3472">
      <c r="A3472" s="12" t="inlineStr">
        <is>
          <t>G-I-0198</t>
        </is>
      </c>
      <c r="B3472" s="12" t="inlineStr">
        <is>
          <t>G</t>
        </is>
      </c>
      <c r="C3472" s="12" t="inlineStr">
        <is>
          <t>Carbon capture</t>
        </is>
      </c>
      <c r="D3472" s="12" t="inlineStr">
        <is>
          <t>Home run JB-DMP-C-DI01 to the control / marshalling room</t>
        </is>
      </c>
      <c r="E3472" s="12" t="inlineStr"/>
      <c r="F3472" s="12" t="inlineStr">
        <is>
          <t>CCS F&amp;G / control</t>
        </is>
      </c>
      <c r="G3472" s="12" t="inlineStr">
        <is>
          <t>JB-DMP-C-DI01</t>
        </is>
      </c>
      <c r="H3472" s="12" t="inlineStr">
        <is>
          <t>DMP-C: diverter / bypass damper</t>
        </is>
      </c>
      <c r="I3472" s="12" t="inlineStr">
        <is>
          <t>Instrumentation</t>
        </is>
      </c>
      <c r="J3472" s="12" t="inlineStr">
        <is>
          <t>Instrumentation PLTC / TC-ER 300 V, #18 twisted shielded pairs, overall shield</t>
        </is>
      </c>
      <c r="K3472" s="12" t="inlineStr">
        <is>
          <t>PLTC|24 pr|18</t>
        </is>
      </c>
      <c r="L3472" s="12" t="inlineStr">
        <is>
          <t>24 pr</t>
        </is>
      </c>
      <c r="M3472" s="12" t="inlineStr">
        <is>
          <t>18</t>
        </is>
      </c>
      <c r="N3472" s="12" t="n">
        <v>1</v>
      </c>
      <c r="O3472" s="12" t="n">
        <v>1</v>
      </c>
      <c r="P3472" s="12" t="n"/>
      <c r="Q3472" s="12" t="n"/>
      <c r="R3472" s="12" t="n"/>
      <c r="S3472" s="12" t="inlineStr">
        <is>
          <t>Duct bank</t>
        </is>
      </c>
      <c r="T3472" s="15" t="n">
        <v>910</v>
      </c>
      <c r="U3472" s="15" t="n">
        <v>193</v>
      </c>
      <c r="V3472" s="15">
        <f>ROUNDUP((T3472+U3472+2*'Read Me'!$B$13)*(1+'Read Me'!$B$12),-1)</f>
        <v/>
      </c>
      <c r="W3472" s="15">
        <f>V3472*N3472*O3472</f>
        <v/>
      </c>
      <c r="X3472" s="12">
        <f>IF(LEFT(I3472,2)="MV",2*N3472*IF(L3472="1/C",O3472,1),0)</f>
        <v/>
      </c>
      <c r="Y3472" s="12">
        <f>IF(OR(LEFT(K3472,4)="LVAX",LEFT(K3472,6)="MV15AX",LEFT(K3472,4)="CTAX",LEFT(K3472,2)="W|"),2*N3472*O3472,0)</f>
        <v/>
      </c>
      <c r="Z3472" s="12" t="inlineStr"/>
      <c r="AA3472" s="12">
        <f>N3472*O3472</f>
        <v/>
      </c>
    </row>
    <row r="3473">
      <c r="A3473" s="12" t="inlineStr">
        <is>
          <t>G-I-0199</t>
        </is>
      </c>
      <c r="B3473" s="12" t="inlineStr">
        <is>
          <t>G</t>
        </is>
      </c>
      <c r="C3473" s="12" t="inlineStr">
        <is>
          <t>Carbon capture</t>
        </is>
      </c>
      <c r="D3473" s="12" t="inlineStr">
        <is>
          <t>Analog instrument to JB JB-RB-A: reboiler (LP-AI01: 15 x 1 pr (field cables)</t>
        </is>
      </c>
      <c r="E3473" s="12" t="inlineStr"/>
      <c r="F3473" s="12" t="inlineStr">
        <is>
          <t>RB-A: reboiler (LP steam from ST extraction)</t>
        </is>
      </c>
      <c r="G3473" s="12" t="inlineStr">
        <is>
          <t>JB-RB-A: reboiler (LP-AI01</t>
        </is>
      </c>
      <c r="H3473" s="12" t="inlineStr">
        <is>
          <t>RB-A: reboiler (LP steam from ST extraction)</t>
        </is>
      </c>
      <c r="I3473" s="12" t="inlineStr">
        <is>
          <t>Instrumentation</t>
        </is>
      </c>
      <c r="J3473" s="12" t="inlineStr">
        <is>
          <t>Instrumentation PLTC / TC-ER 300 V, #18 twisted shielded pairs, overall shield</t>
        </is>
      </c>
      <c r="K3473" s="12" t="inlineStr">
        <is>
          <t>PLTC|1 pr|16</t>
        </is>
      </c>
      <c r="L3473" s="12" t="inlineStr">
        <is>
          <t>1 pr</t>
        </is>
      </c>
      <c r="M3473" s="12" t="inlineStr">
        <is>
          <t>16</t>
        </is>
      </c>
      <c r="N3473" s="12" t="n">
        <v>15</v>
      </c>
      <c r="O3473" s="12" t="n">
        <v>1</v>
      </c>
      <c r="P3473" s="12" t="n"/>
      <c r="Q3473" s="12" t="n"/>
      <c r="R3473" s="12" t="n"/>
      <c r="S3473" s="12" t="inlineStr">
        <is>
          <t>Tray / conduit</t>
        </is>
      </c>
      <c r="T3473" s="15" t="n">
        <v>80</v>
      </c>
      <c r="U3473" s="15" t="n">
        <v>10</v>
      </c>
      <c r="V3473" s="15">
        <f>ROUNDUP((T3473+U3473+2*'Read Me'!$B$13)*(1+'Read Me'!$B$12),-1)</f>
        <v/>
      </c>
      <c r="W3473" s="15">
        <f>V3473*N3473*O3473</f>
        <v/>
      </c>
      <c r="X3473" s="12">
        <f>IF(LEFT(I3473,2)="MV",2*N3473*IF(L3473="1/C",O3473,1),0)</f>
        <v/>
      </c>
      <c r="Y3473" s="12">
        <f>IF(OR(LEFT(K3473,4)="LVAX",LEFT(K3473,6)="MV15AX",LEFT(K3473,4)="CTAX",LEFT(K3473,2)="W|"),2*N3473*O3473,0)</f>
        <v/>
      </c>
      <c r="Z3473" s="12" t="inlineStr">
        <is>
          <t>device-to-JB field wiring, one cable per device</t>
        </is>
      </c>
      <c r="AA3473" s="12">
        <f>N3473*O3473</f>
        <v/>
      </c>
    </row>
    <row r="3474">
      <c r="A3474" s="12" t="inlineStr">
        <is>
          <t>G-I-0200</t>
        </is>
      </c>
      <c r="B3474" s="12" t="inlineStr">
        <is>
          <t>G</t>
        </is>
      </c>
      <c r="C3474" s="12" t="inlineStr">
        <is>
          <t>Carbon capture</t>
        </is>
      </c>
      <c r="D3474" s="12" t="inlineStr">
        <is>
          <t>Home run JB-RB-A: reboiler (LP-AI01 to the control / marshalling room</t>
        </is>
      </c>
      <c r="E3474" s="12" t="inlineStr"/>
      <c r="F3474" s="12" t="inlineStr">
        <is>
          <t>CCS F&amp;G / control</t>
        </is>
      </c>
      <c r="G3474" s="12" t="inlineStr">
        <is>
          <t>JB-RB-A: reboiler (LP-AI01</t>
        </is>
      </c>
      <c r="H3474" s="12" t="inlineStr">
        <is>
          <t>RB-A: reboiler (LP steam from ST extraction)</t>
        </is>
      </c>
      <c r="I3474" s="12" t="inlineStr">
        <is>
          <t>Instrumentation</t>
        </is>
      </c>
      <c r="J3474" s="12" t="inlineStr">
        <is>
          <t>Instrumentation PLTC / TC-ER 300 V, #18 twisted shielded pairs, overall shield</t>
        </is>
      </c>
      <c r="K3474" s="12" t="inlineStr">
        <is>
          <t>PLTC|24 pr|18</t>
        </is>
      </c>
      <c r="L3474" s="12" t="inlineStr">
        <is>
          <t>24 pr</t>
        </is>
      </c>
      <c r="M3474" s="12" t="inlineStr">
        <is>
          <t>18</t>
        </is>
      </c>
      <c r="N3474" s="12" t="n">
        <v>1</v>
      </c>
      <c r="O3474" s="12" t="n">
        <v>1</v>
      </c>
      <c r="P3474" s="12" t="n"/>
      <c r="Q3474" s="12" t="n"/>
      <c r="R3474" s="12" t="n"/>
      <c r="S3474" s="12" t="inlineStr">
        <is>
          <t>Duct bank</t>
        </is>
      </c>
      <c r="T3474" s="15" t="n">
        <v>266</v>
      </c>
      <c r="U3474" s="15" t="n">
        <v>111</v>
      </c>
      <c r="V3474" s="15">
        <f>ROUNDUP((T3474+U3474+2*'Read Me'!$B$13)*(1+'Read Me'!$B$12),-1)</f>
        <v/>
      </c>
      <c r="W3474" s="15">
        <f>V3474*N3474*O3474</f>
        <v/>
      </c>
      <c r="X3474" s="12">
        <f>IF(LEFT(I3474,2)="MV",2*N3474*IF(L3474="1/C",O3474,1),0)</f>
        <v/>
      </c>
      <c r="Y3474" s="12">
        <f>IF(OR(LEFT(K3474,4)="LVAX",LEFT(K3474,6)="MV15AX",LEFT(K3474,4)="CTAX",LEFT(K3474,2)="W|"),2*N3474*O3474,0)</f>
        <v/>
      </c>
      <c r="Z3474" s="12" t="inlineStr"/>
      <c r="AA3474" s="12">
        <f>N3474*O3474</f>
        <v/>
      </c>
    </row>
    <row r="3475">
      <c r="A3475" s="12" t="inlineStr">
        <is>
          <t>G-I-0201</t>
        </is>
      </c>
      <c r="B3475" s="12" t="inlineStr">
        <is>
          <t>G</t>
        </is>
      </c>
      <c r="C3475" s="12" t="inlineStr">
        <is>
          <t>Carbon capture</t>
        </is>
      </c>
      <c r="D3475" s="12" t="inlineStr">
        <is>
          <t>Discrete device to JB JB-RB-A: reboiler (LP-DI01: 10 x 1 pr (field cables)</t>
        </is>
      </c>
      <c r="E3475" s="12" t="inlineStr"/>
      <c r="F3475" s="12" t="inlineStr">
        <is>
          <t>RB-A: reboiler (LP steam from ST extraction)</t>
        </is>
      </c>
      <c r="G3475" s="12" t="inlineStr">
        <is>
          <t>JB-RB-A: reboiler (LP-DI01</t>
        </is>
      </c>
      <c r="H3475" s="12" t="inlineStr">
        <is>
          <t>RB-A: reboiler (LP steam from ST extraction)</t>
        </is>
      </c>
      <c r="I3475" s="12" t="inlineStr">
        <is>
          <t>Instrumentation</t>
        </is>
      </c>
      <c r="J3475" s="12" t="inlineStr">
        <is>
          <t>Instrumentation PLTC / TC-ER 300 V, #18 twisted shielded pairs, overall shield</t>
        </is>
      </c>
      <c r="K3475" s="12" t="inlineStr">
        <is>
          <t>PLTC|1 pr|16</t>
        </is>
      </c>
      <c r="L3475" s="12" t="inlineStr">
        <is>
          <t>1 pr</t>
        </is>
      </c>
      <c r="M3475" s="12" t="inlineStr">
        <is>
          <t>16</t>
        </is>
      </c>
      <c r="N3475" s="12" t="n">
        <v>10</v>
      </c>
      <c r="O3475" s="12" t="n">
        <v>1</v>
      </c>
      <c r="P3475" s="12" t="n"/>
      <c r="Q3475" s="12" t="n"/>
      <c r="R3475" s="12" t="n"/>
      <c r="S3475" s="12" t="inlineStr">
        <is>
          <t>Tray / conduit</t>
        </is>
      </c>
      <c r="T3475" s="15" t="n">
        <v>80</v>
      </c>
      <c r="U3475" s="15" t="n">
        <v>10</v>
      </c>
      <c r="V3475" s="15">
        <f>ROUNDUP((T3475+U3475+2*'Read Me'!$B$13)*(1+'Read Me'!$B$12),-1)</f>
        <v/>
      </c>
      <c r="W3475" s="15">
        <f>V3475*N3475*O3475</f>
        <v/>
      </c>
      <c r="X3475" s="12">
        <f>IF(LEFT(I3475,2)="MV",2*N3475*IF(L3475="1/C",O3475,1),0)</f>
        <v/>
      </c>
      <c r="Y3475" s="12">
        <f>IF(OR(LEFT(K3475,4)="LVAX",LEFT(K3475,6)="MV15AX",LEFT(K3475,4)="CTAX",LEFT(K3475,2)="W|"),2*N3475*O3475,0)</f>
        <v/>
      </c>
      <c r="Z3475" s="12" t="inlineStr">
        <is>
          <t>device-to-JB field wiring, one cable per device</t>
        </is>
      </c>
      <c r="AA3475" s="12">
        <f>N3475*O3475</f>
        <v/>
      </c>
    </row>
    <row r="3476">
      <c r="A3476" s="12" t="inlineStr">
        <is>
          <t>G-I-0202</t>
        </is>
      </c>
      <c r="B3476" s="12" t="inlineStr">
        <is>
          <t>G</t>
        </is>
      </c>
      <c r="C3476" s="12" t="inlineStr">
        <is>
          <t>Carbon capture</t>
        </is>
      </c>
      <c r="D3476" s="12" t="inlineStr">
        <is>
          <t>Home run JB-RB-A: reboiler (LP-DI01 to the control / marshalling room</t>
        </is>
      </c>
      <c r="E3476" s="12" t="inlineStr"/>
      <c r="F3476" s="12" t="inlineStr">
        <is>
          <t>CCS F&amp;G / control</t>
        </is>
      </c>
      <c r="G3476" s="12" t="inlineStr">
        <is>
          <t>JB-RB-A: reboiler (LP-DI01</t>
        </is>
      </c>
      <c r="H3476" s="12" t="inlineStr">
        <is>
          <t>RB-A: reboiler (LP steam from ST extraction)</t>
        </is>
      </c>
      <c r="I3476" s="12" t="inlineStr">
        <is>
          <t>Instrumentation</t>
        </is>
      </c>
      <c r="J3476" s="12" t="inlineStr">
        <is>
          <t>Instrumentation PLTC / TC-ER 300 V, #18 twisted shielded pairs, overall shield</t>
        </is>
      </c>
      <c r="K3476" s="12" t="inlineStr">
        <is>
          <t>PLTC|24 pr|18</t>
        </is>
      </c>
      <c r="L3476" s="12" t="inlineStr">
        <is>
          <t>24 pr</t>
        </is>
      </c>
      <c r="M3476" s="12" t="inlineStr">
        <is>
          <t>18</t>
        </is>
      </c>
      <c r="N3476" s="12" t="n">
        <v>1</v>
      </c>
      <c r="O3476" s="12" t="n">
        <v>1</v>
      </c>
      <c r="P3476" s="12" t="n"/>
      <c r="Q3476" s="12" t="n"/>
      <c r="R3476" s="12" t="n"/>
      <c r="S3476" s="12" t="inlineStr">
        <is>
          <t>Duct bank</t>
        </is>
      </c>
      <c r="T3476" s="15" t="n">
        <v>266</v>
      </c>
      <c r="U3476" s="15" t="n">
        <v>111</v>
      </c>
      <c r="V3476" s="15">
        <f>ROUNDUP((T3476+U3476+2*'Read Me'!$B$13)*(1+'Read Me'!$B$12),-1)</f>
        <v/>
      </c>
      <c r="W3476" s="15">
        <f>V3476*N3476*O3476</f>
        <v/>
      </c>
      <c r="X3476" s="12">
        <f>IF(LEFT(I3476,2)="MV",2*N3476*IF(L3476="1/C",O3476,1),0)</f>
        <v/>
      </c>
      <c r="Y3476" s="12">
        <f>IF(OR(LEFT(K3476,4)="LVAX",LEFT(K3476,6)="MV15AX",LEFT(K3476,4)="CTAX",LEFT(K3476,2)="W|"),2*N3476*O3476,0)</f>
        <v/>
      </c>
      <c r="Z3476" s="12" t="inlineStr"/>
      <c r="AA3476" s="12">
        <f>N3476*O3476</f>
        <v/>
      </c>
    </row>
    <row r="3477">
      <c r="A3477" s="12" t="inlineStr">
        <is>
          <t>G-I-0203</t>
        </is>
      </c>
      <c r="B3477" s="12" t="inlineStr">
        <is>
          <t>G</t>
        </is>
      </c>
      <c r="C3477" s="12" t="inlineStr">
        <is>
          <t>Carbon capture</t>
        </is>
      </c>
      <c r="D3477" s="12" t="inlineStr">
        <is>
          <t>Analog instrument to JB JB-RB-B: reboiler (LP-AI01: 15 x 1 pr (field cables)</t>
        </is>
      </c>
      <c r="E3477" s="12" t="inlineStr"/>
      <c r="F3477" s="12" t="inlineStr">
        <is>
          <t>RB-B: reboiler (LP steam from ST extraction)</t>
        </is>
      </c>
      <c r="G3477" s="12" t="inlineStr">
        <is>
          <t>JB-RB-B: reboiler (LP-AI01</t>
        </is>
      </c>
      <c r="H3477" s="12" t="inlineStr">
        <is>
          <t>RB-B: reboiler (LP steam from ST extraction)</t>
        </is>
      </c>
      <c r="I3477" s="12" t="inlineStr">
        <is>
          <t>Instrumentation</t>
        </is>
      </c>
      <c r="J3477" s="12" t="inlineStr">
        <is>
          <t>Instrumentation PLTC / TC-ER 300 V, #18 twisted shielded pairs, overall shield</t>
        </is>
      </c>
      <c r="K3477" s="12" t="inlineStr">
        <is>
          <t>PLTC|1 pr|16</t>
        </is>
      </c>
      <c r="L3477" s="12" t="inlineStr">
        <is>
          <t>1 pr</t>
        </is>
      </c>
      <c r="M3477" s="12" t="inlineStr">
        <is>
          <t>16</t>
        </is>
      </c>
      <c r="N3477" s="12" t="n">
        <v>15</v>
      </c>
      <c r="O3477" s="12" t="n">
        <v>1</v>
      </c>
      <c r="P3477" s="12" t="n"/>
      <c r="Q3477" s="12" t="n"/>
      <c r="R3477" s="12" t="n"/>
      <c r="S3477" s="12" t="inlineStr">
        <is>
          <t>Tray / conduit</t>
        </is>
      </c>
      <c r="T3477" s="15" t="n">
        <v>80</v>
      </c>
      <c r="U3477" s="15" t="n">
        <v>10</v>
      </c>
      <c r="V3477" s="15">
        <f>ROUNDUP((T3477+U3477+2*'Read Me'!$B$13)*(1+'Read Me'!$B$12),-1)</f>
        <v/>
      </c>
      <c r="W3477" s="15">
        <f>V3477*N3477*O3477</f>
        <v/>
      </c>
      <c r="X3477" s="12">
        <f>IF(LEFT(I3477,2)="MV",2*N3477*IF(L3477="1/C",O3477,1),0)</f>
        <v/>
      </c>
      <c r="Y3477" s="12">
        <f>IF(OR(LEFT(K3477,4)="LVAX",LEFT(K3477,6)="MV15AX",LEFT(K3477,4)="CTAX",LEFT(K3477,2)="W|"),2*N3477*O3477,0)</f>
        <v/>
      </c>
      <c r="Z3477" s="12" t="inlineStr">
        <is>
          <t>device-to-JB field wiring, one cable per device</t>
        </is>
      </c>
      <c r="AA3477" s="12">
        <f>N3477*O3477</f>
        <v/>
      </c>
    </row>
    <row r="3478">
      <c r="A3478" s="12" t="inlineStr">
        <is>
          <t>G-I-0204</t>
        </is>
      </c>
      <c r="B3478" s="12" t="inlineStr">
        <is>
          <t>G</t>
        </is>
      </c>
      <c r="C3478" s="12" t="inlineStr">
        <is>
          <t>Carbon capture</t>
        </is>
      </c>
      <c r="D3478" s="12" t="inlineStr">
        <is>
          <t>Home run JB-RB-B: reboiler (LP-AI01 to the control / marshalling room</t>
        </is>
      </c>
      <c r="E3478" s="12" t="inlineStr"/>
      <c r="F3478" s="12" t="inlineStr">
        <is>
          <t>CCS F&amp;G / control</t>
        </is>
      </c>
      <c r="G3478" s="12" t="inlineStr">
        <is>
          <t>JB-RB-B: reboiler (LP-AI01</t>
        </is>
      </c>
      <c r="H3478" s="12" t="inlineStr">
        <is>
          <t>RB-B: reboiler (LP steam from ST extraction)</t>
        </is>
      </c>
      <c r="I3478" s="12" t="inlineStr">
        <is>
          <t>Instrumentation</t>
        </is>
      </c>
      <c r="J3478" s="12" t="inlineStr">
        <is>
          <t>Instrumentation PLTC / TC-ER 300 V, #18 twisted shielded pairs, overall shield</t>
        </is>
      </c>
      <c r="K3478" s="12" t="inlineStr">
        <is>
          <t>PLTC|24 pr|18</t>
        </is>
      </c>
      <c r="L3478" s="12" t="inlineStr">
        <is>
          <t>24 pr</t>
        </is>
      </c>
      <c r="M3478" s="12" t="inlineStr">
        <is>
          <t>18</t>
        </is>
      </c>
      <c r="N3478" s="12" t="n">
        <v>1</v>
      </c>
      <c r="O3478" s="12" t="n">
        <v>1</v>
      </c>
      <c r="P3478" s="12" t="n"/>
      <c r="Q3478" s="12" t="n"/>
      <c r="R3478" s="12" t="n"/>
      <c r="S3478" s="12" t="inlineStr">
        <is>
          <t>Duct bank</t>
        </is>
      </c>
      <c r="T3478" s="15" t="n">
        <v>216</v>
      </c>
      <c r="U3478" s="15" t="n">
        <v>111</v>
      </c>
      <c r="V3478" s="15">
        <f>ROUNDUP((T3478+U3478+2*'Read Me'!$B$13)*(1+'Read Me'!$B$12),-1)</f>
        <v/>
      </c>
      <c r="W3478" s="15">
        <f>V3478*N3478*O3478</f>
        <v/>
      </c>
      <c r="X3478" s="12">
        <f>IF(LEFT(I3478,2)="MV",2*N3478*IF(L3478="1/C",O3478,1),0)</f>
        <v/>
      </c>
      <c r="Y3478" s="12">
        <f>IF(OR(LEFT(K3478,4)="LVAX",LEFT(K3478,6)="MV15AX",LEFT(K3478,4)="CTAX",LEFT(K3478,2)="W|"),2*N3478*O3478,0)</f>
        <v/>
      </c>
      <c r="Z3478" s="12" t="inlineStr"/>
      <c r="AA3478" s="12">
        <f>N3478*O3478</f>
        <v/>
      </c>
    </row>
    <row r="3479">
      <c r="A3479" s="12" t="inlineStr">
        <is>
          <t>G-I-0205</t>
        </is>
      </c>
      <c r="B3479" s="12" t="inlineStr">
        <is>
          <t>G</t>
        </is>
      </c>
      <c r="C3479" s="12" t="inlineStr">
        <is>
          <t>Carbon capture</t>
        </is>
      </c>
      <c r="D3479" s="12" t="inlineStr">
        <is>
          <t>Discrete device to JB JB-RB-B: reboiler (LP-DI01: 10 x 1 pr (field cables)</t>
        </is>
      </c>
      <c r="E3479" s="12" t="inlineStr"/>
      <c r="F3479" s="12" t="inlineStr">
        <is>
          <t>RB-B: reboiler (LP steam from ST extraction)</t>
        </is>
      </c>
      <c r="G3479" s="12" t="inlineStr">
        <is>
          <t>JB-RB-B: reboiler (LP-DI01</t>
        </is>
      </c>
      <c r="H3479" s="12" t="inlineStr">
        <is>
          <t>RB-B: reboiler (LP steam from ST extraction)</t>
        </is>
      </c>
      <c r="I3479" s="12" t="inlineStr">
        <is>
          <t>Instrumentation</t>
        </is>
      </c>
      <c r="J3479" s="12" t="inlineStr">
        <is>
          <t>Instrumentation PLTC / TC-ER 300 V, #18 twisted shielded pairs, overall shield</t>
        </is>
      </c>
      <c r="K3479" s="12" t="inlineStr">
        <is>
          <t>PLTC|1 pr|16</t>
        </is>
      </c>
      <c r="L3479" s="12" t="inlineStr">
        <is>
          <t>1 pr</t>
        </is>
      </c>
      <c r="M3479" s="12" t="inlineStr">
        <is>
          <t>16</t>
        </is>
      </c>
      <c r="N3479" s="12" t="n">
        <v>10</v>
      </c>
      <c r="O3479" s="12" t="n">
        <v>1</v>
      </c>
      <c r="P3479" s="12" t="n"/>
      <c r="Q3479" s="12" t="n"/>
      <c r="R3479" s="12" t="n"/>
      <c r="S3479" s="12" t="inlineStr">
        <is>
          <t>Tray / conduit</t>
        </is>
      </c>
      <c r="T3479" s="15" t="n">
        <v>80</v>
      </c>
      <c r="U3479" s="15" t="n">
        <v>10</v>
      </c>
      <c r="V3479" s="15">
        <f>ROUNDUP((T3479+U3479+2*'Read Me'!$B$13)*(1+'Read Me'!$B$12),-1)</f>
        <v/>
      </c>
      <c r="W3479" s="15">
        <f>V3479*N3479*O3479</f>
        <v/>
      </c>
      <c r="X3479" s="12">
        <f>IF(LEFT(I3479,2)="MV",2*N3479*IF(L3479="1/C",O3479,1),0)</f>
        <v/>
      </c>
      <c r="Y3479" s="12">
        <f>IF(OR(LEFT(K3479,4)="LVAX",LEFT(K3479,6)="MV15AX",LEFT(K3479,4)="CTAX",LEFT(K3479,2)="W|"),2*N3479*O3479,0)</f>
        <v/>
      </c>
      <c r="Z3479" s="12" t="inlineStr">
        <is>
          <t>device-to-JB field wiring, one cable per device</t>
        </is>
      </c>
      <c r="AA3479" s="12">
        <f>N3479*O3479</f>
        <v/>
      </c>
    </row>
    <row r="3480">
      <c r="A3480" s="12" t="inlineStr">
        <is>
          <t>G-I-0206</t>
        </is>
      </c>
      <c r="B3480" s="12" t="inlineStr">
        <is>
          <t>G</t>
        </is>
      </c>
      <c r="C3480" s="12" t="inlineStr">
        <is>
          <t>Carbon capture</t>
        </is>
      </c>
      <c r="D3480" s="12" t="inlineStr">
        <is>
          <t>Home run JB-RB-B: reboiler (LP-DI01 to the control / marshalling room</t>
        </is>
      </c>
      <c r="E3480" s="12" t="inlineStr"/>
      <c r="F3480" s="12" t="inlineStr">
        <is>
          <t>CCS F&amp;G / control</t>
        </is>
      </c>
      <c r="G3480" s="12" t="inlineStr">
        <is>
          <t>JB-RB-B: reboiler (LP-DI01</t>
        </is>
      </c>
      <c r="H3480" s="12" t="inlineStr">
        <is>
          <t>RB-B: reboiler (LP steam from ST extraction)</t>
        </is>
      </c>
      <c r="I3480" s="12" t="inlineStr">
        <is>
          <t>Instrumentation</t>
        </is>
      </c>
      <c r="J3480" s="12" t="inlineStr">
        <is>
          <t>Instrumentation PLTC / TC-ER 300 V, #18 twisted shielded pairs, overall shield</t>
        </is>
      </c>
      <c r="K3480" s="12" t="inlineStr">
        <is>
          <t>PLTC|24 pr|18</t>
        </is>
      </c>
      <c r="L3480" s="12" t="inlineStr">
        <is>
          <t>24 pr</t>
        </is>
      </c>
      <c r="M3480" s="12" t="inlineStr">
        <is>
          <t>18</t>
        </is>
      </c>
      <c r="N3480" s="12" t="n">
        <v>1</v>
      </c>
      <c r="O3480" s="12" t="n">
        <v>1</v>
      </c>
      <c r="P3480" s="12" t="n"/>
      <c r="Q3480" s="12" t="n"/>
      <c r="R3480" s="12" t="n"/>
      <c r="S3480" s="12" t="inlineStr">
        <is>
          <t>Duct bank</t>
        </is>
      </c>
      <c r="T3480" s="15" t="n">
        <v>216</v>
      </c>
      <c r="U3480" s="15" t="n">
        <v>111</v>
      </c>
      <c r="V3480" s="15">
        <f>ROUNDUP((T3480+U3480+2*'Read Me'!$B$13)*(1+'Read Me'!$B$12),-1)</f>
        <v/>
      </c>
      <c r="W3480" s="15">
        <f>V3480*N3480*O3480</f>
        <v/>
      </c>
      <c r="X3480" s="12">
        <f>IF(LEFT(I3480,2)="MV",2*N3480*IF(L3480="1/C",O3480,1),0)</f>
        <v/>
      </c>
      <c r="Y3480" s="12">
        <f>IF(OR(LEFT(K3480,4)="LVAX",LEFT(K3480,6)="MV15AX",LEFT(K3480,4)="CTAX",LEFT(K3480,2)="W|"),2*N3480*O3480,0)</f>
        <v/>
      </c>
      <c r="Z3480" s="12" t="inlineStr"/>
      <c r="AA3480" s="12">
        <f>N3480*O3480</f>
        <v/>
      </c>
    </row>
    <row r="3481">
      <c r="A3481" s="12" t="inlineStr">
        <is>
          <t>G-I-0207</t>
        </is>
      </c>
      <c r="B3481" s="12" t="inlineStr">
        <is>
          <t>G</t>
        </is>
      </c>
      <c r="C3481" s="12" t="inlineStr">
        <is>
          <t>Carbon capture</t>
        </is>
      </c>
      <c r="D3481" s="12" t="inlineStr">
        <is>
          <t>Analog instrument to JB JB-RB-C: reboiler (LP-AI01: 15 x 1 pr (field cables)</t>
        </is>
      </c>
      <c r="E3481" s="12" t="inlineStr"/>
      <c r="F3481" s="12" t="inlineStr">
        <is>
          <t>RB-C: reboiler (LP steam from ST extraction)</t>
        </is>
      </c>
      <c r="G3481" s="12" t="inlineStr">
        <is>
          <t>JB-RB-C: reboiler (LP-AI01</t>
        </is>
      </c>
      <c r="H3481" s="12" t="inlineStr">
        <is>
          <t>RB-C: reboiler (LP steam from ST extraction)</t>
        </is>
      </c>
      <c r="I3481" s="12" t="inlineStr">
        <is>
          <t>Instrumentation</t>
        </is>
      </c>
      <c r="J3481" s="12" t="inlineStr">
        <is>
          <t>Instrumentation PLTC / TC-ER 300 V, #18 twisted shielded pairs, overall shield</t>
        </is>
      </c>
      <c r="K3481" s="12" t="inlineStr">
        <is>
          <t>PLTC|1 pr|16</t>
        </is>
      </c>
      <c r="L3481" s="12" t="inlineStr">
        <is>
          <t>1 pr</t>
        </is>
      </c>
      <c r="M3481" s="12" t="inlineStr">
        <is>
          <t>16</t>
        </is>
      </c>
      <c r="N3481" s="12" t="n">
        <v>15</v>
      </c>
      <c r="O3481" s="12" t="n">
        <v>1</v>
      </c>
      <c r="P3481" s="12" t="n"/>
      <c r="Q3481" s="12" t="n"/>
      <c r="R3481" s="12" t="n"/>
      <c r="S3481" s="12" t="inlineStr">
        <is>
          <t>Tray / conduit</t>
        </is>
      </c>
      <c r="T3481" s="15" t="n">
        <v>80</v>
      </c>
      <c r="U3481" s="15" t="n">
        <v>10</v>
      </c>
      <c r="V3481" s="15">
        <f>ROUNDUP((T3481+U3481+2*'Read Me'!$B$13)*(1+'Read Me'!$B$12),-1)</f>
        <v/>
      </c>
      <c r="W3481" s="15">
        <f>V3481*N3481*O3481</f>
        <v/>
      </c>
      <c r="X3481" s="12">
        <f>IF(LEFT(I3481,2)="MV",2*N3481*IF(L3481="1/C",O3481,1),0)</f>
        <v/>
      </c>
      <c r="Y3481" s="12">
        <f>IF(OR(LEFT(K3481,4)="LVAX",LEFT(K3481,6)="MV15AX",LEFT(K3481,4)="CTAX",LEFT(K3481,2)="W|"),2*N3481*O3481,0)</f>
        <v/>
      </c>
      <c r="Z3481" s="12" t="inlineStr">
        <is>
          <t>device-to-JB field wiring, one cable per device</t>
        </is>
      </c>
      <c r="AA3481" s="12">
        <f>N3481*O3481</f>
        <v/>
      </c>
    </row>
    <row r="3482">
      <c r="A3482" s="12" t="inlineStr">
        <is>
          <t>G-I-0208</t>
        </is>
      </c>
      <c r="B3482" s="12" t="inlineStr">
        <is>
          <t>G</t>
        </is>
      </c>
      <c r="C3482" s="12" t="inlineStr">
        <is>
          <t>Carbon capture</t>
        </is>
      </c>
      <c r="D3482" s="12" t="inlineStr">
        <is>
          <t>Home run JB-RB-C: reboiler (LP-AI01 to the control / marshalling room</t>
        </is>
      </c>
      <c r="E3482" s="12" t="inlineStr"/>
      <c r="F3482" s="12" t="inlineStr">
        <is>
          <t>CCS F&amp;G / control</t>
        </is>
      </c>
      <c r="G3482" s="12" t="inlineStr">
        <is>
          <t>JB-RB-C: reboiler (LP-AI01</t>
        </is>
      </c>
      <c r="H3482" s="12" t="inlineStr">
        <is>
          <t>RB-C: reboiler (LP steam from ST extraction)</t>
        </is>
      </c>
      <c r="I3482" s="12" t="inlineStr">
        <is>
          <t>Instrumentation</t>
        </is>
      </c>
      <c r="J3482" s="12" t="inlineStr">
        <is>
          <t>Instrumentation PLTC / TC-ER 300 V, #18 twisted shielded pairs, overall shield</t>
        </is>
      </c>
      <c r="K3482" s="12" t="inlineStr">
        <is>
          <t>PLTC|24 pr|18</t>
        </is>
      </c>
      <c r="L3482" s="12" t="inlineStr">
        <is>
          <t>24 pr</t>
        </is>
      </c>
      <c r="M3482" s="12" t="inlineStr">
        <is>
          <t>18</t>
        </is>
      </c>
      <c r="N3482" s="12" t="n">
        <v>1</v>
      </c>
      <c r="O3482" s="12" t="n">
        <v>1</v>
      </c>
      <c r="P3482" s="12" t="n"/>
      <c r="Q3482" s="12" t="n"/>
      <c r="R3482" s="12" t="n"/>
      <c r="S3482" s="12" t="inlineStr">
        <is>
          <t>Duct bank</t>
        </is>
      </c>
      <c r="T3482" s="15" t="n">
        <v>161</v>
      </c>
      <c r="U3482" s="15" t="n">
        <v>116</v>
      </c>
      <c r="V3482" s="15">
        <f>ROUNDUP((T3482+U3482+2*'Read Me'!$B$13)*(1+'Read Me'!$B$12),-1)</f>
        <v/>
      </c>
      <c r="W3482" s="15">
        <f>V3482*N3482*O3482</f>
        <v/>
      </c>
      <c r="X3482" s="12">
        <f>IF(LEFT(I3482,2)="MV",2*N3482*IF(L3482="1/C",O3482,1),0)</f>
        <v/>
      </c>
      <c r="Y3482" s="12">
        <f>IF(OR(LEFT(K3482,4)="LVAX",LEFT(K3482,6)="MV15AX",LEFT(K3482,4)="CTAX",LEFT(K3482,2)="W|"),2*N3482*O3482,0)</f>
        <v/>
      </c>
      <c r="Z3482" s="12" t="inlineStr"/>
      <c r="AA3482" s="12">
        <f>N3482*O3482</f>
        <v/>
      </c>
    </row>
    <row r="3483">
      <c r="A3483" s="12" t="inlineStr">
        <is>
          <t>G-I-0209</t>
        </is>
      </c>
      <c r="B3483" s="12" t="inlineStr">
        <is>
          <t>G</t>
        </is>
      </c>
      <c r="C3483" s="12" t="inlineStr">
        <is>
          <t>Carbon capture</t>
        </is>
      </c>
      <c r="D3483" s="12" t="inlineStr">
        <is>
          <t>Discrete device to JB JB-RB-C: reboiler (LP-DI01: 10 x 1 pr (field cables)</t>
        </is>
      </c>
      <c r="E3483" s="12" t="inlineStr"/>
      <c r="F3483" s="12" t="inlineStr">
        <is>
          <t>RB-C: reboiler (LP steam from ST extraction)</t>
        </is>
      </c>
      <c r="G3483" s="12" t="inlineStr">
        <is>
          <t>JB-RB-C: reboiler (LP-DI01</t>
        </is>
      </c>
      <c r="H3483" s="12" t="inlineStr">
        <is>
          <t>RB-C: reboiler (LP steam from ST extraction)</t>
        </is>
      </c>
      <c r="I3483" s="12" t="inlineStr">
        <is>
          <t>Instrumentation</t>
        </is>
      </c>
      <c r="J3483" s="12" t="inlineStr">
        <is>
          <t>Instrumentation PLTC / TC-ER 300 V, #18 twisted shielded pairs, overall shield</t>
        </is>
      </c>
      <c r="K3483" s="12" t="inlineStr">
        <is>
          <t>PLTC|1 pr|16</t>
        </is>
      </c>
      <c r="L3483" s="12" t="inlineStr">
        <is>
          <t>1 pr</t>
        </is>
      </c>
      <c r="M3483" s="12" t="inlineStr">
        <is>
          <t>16</t>
        </is>
      </c>
      <c r="N3483" s="12" t="n">
        <v>10</v>
      </c>
      <c r="O3483" s="12" t="n">
        <v>1</v>
      </c>
      <c r="P3483" s="12" t="n"/>
      <c r="Q3483" s="12" t="n"/>
      <c r="R3483" s="12" t="n"/>
      <c r="S3483" s="12" t="inlineStr">
        <is>
          <t>Tray / conduit</t>
        </is>
      </c>
      <c r="T3483" s="15" t="n">
        <v>80</v>
      </c>
      <c r="U3483" s="15" t="n">
        <v>10</v>
      </c>
      <c r="V3483" s="15">
        <f>ROUNDUP((T3483+U3483+2*'Read Me'!$B$13)*(1+'Read Me'!$B$12),-1)</f>
        <v/>
      </c>
      <c r="W3483" s="15">
        <f>V3483*N3483*O3483</f>
        <v/>
      </c>
      <c r="X3483" s="12">
        <f>IF(LEFT(I3483,2)="MV",2*N3483*IF(L3483="1/C",O3483,1),0)</f>
        <v/>
      </c>
      <c r="Y3483" s="12">
        <f>IF(OR(LEFT(K3483,4)="LVAX",LEFT(K3483,6)="MV15AX",LEFT(K3483,4)="CTAX",LEFT(K3483,2)="W|"),2*N3483*O3483,0)</f>
        <v/>
      </c>
      <c r="Z3483" s="12" t="inlineStr">
        <is>
          <t>device-to-JB field wiring, one cable per device</t>
        </is>
      </c>
      <c r="AA3483" s="12">
        <f>N3483*O3483</f>
        <v/>
      </c>
    </row>
    <row r="3484">
      <c r="A3484" s="12" t="inlineStr">
        <is>
          <t>G-I-0210</t>
        </is>
      </c>
      <c r="B3484" s="12" t="inlineStr">
        <is>
          <t>G</t>
        </is>
      </c>
      <c r="C3484" s="12" t="inlineStr">
        <is>
          <t>Carbon capture</t>
        </is>
      </c>
      <c r="D3484" s="12" t="inlineStr">
        <is>
          <t>Home run JB-RB-C: reboiler (LP-DI01 to the control / marshalling room</t>
        </is>
      </c>
      <c r="E3484" s="12" t="inlineStr"/>
      <c r="F3484" s="12" t="inlineStr">
        <is>
          <t>CCS F&amp;G / control</t>
        </is>
      </c>
      <c r="G3484" s="12" t="inlineStr">
        <is>
          <t>JB-RB-C: reboiler (LP-DI01</t>
        </is>
      </c>
      <c r="H3484" s="12" t="inlineStr">
        <is>
          <t>RB-C: reboiler (LP steam from ST extraction)</t>
        </is>
      </c>
      <c r="I3484" s="12" t="inlineStr">
        <is>
          <t>Instrumentation</t>
        </is>
      </c>
      <c r="J3484" s="12" t="inlineStr">
        <is>
          <t>Instrumentation PLTC / TC-ER 300 V, #18 twisted shielded pairs, overall shield</t>
        </is>
      </c>
      <c r="K3484" s="12" t="inlineStr">
        <is>
          <t>PLTC|24 pr|18</t>
        </is>
      </c>
      <c r="L3484" s="12" t="inlineStr">
        <is>
          <t>24 pr</t>
        </is>
      </c>
      <c r="M3484" s="12" t="inlineStr">
        <is>
          <t>18</t>
        </is>
      </c>
      <c r="N3484" s="12" t="n">
        <v>1</v>
      </c>
      <c r="O3484" s="12" t="n">
        <v>1</v>
      </c>
      <c r="P3484" s="12" t="n"/>
      <c r="Q3484" s="12" t="n"/>
      <c r="R3484" s="12" t="n"/>
      <c r="S3484" s="12" t="inlineStr">
        <is>
          <t>Duct bank</t>
        </is>
      </c>
      <c r="T3484" s="15" t="n">
        <v>161</v>
      </c>
      <c r="U3484" s="15" t="n">
        <v>116</v>
      </c>
      <c r="V3484" s="15">
        <f>ROUNDUP((T3484+U3484+2*'Read Me'!$B$13)*(1+'Read Me'!$B$12),-1)</f>
        <v/>
      </c>
      <c r="W3484" s="15">
        <f>V3484*N3484*O3484</f>
        <v/>
      </c>
      <c r="X3484" s="12">
        <f>IF(LEFT(I3484,2)="MV",2*N3484*IF(L3484="1/C",O3484,1),0)</f>
        <v/>
      </c>
      <c r="Y3484" s="12">
        <f>IF(OR(LEFT(K3484,4)="LVAX",LEFT(K3484,6)="MV15AX",LEFT(K3484,4)="CTAX",LEFT(K3484,2)="W|"),2*N3484*O3484,0)</f>
        <v/>
      </c>
      <c r="Z3484" s="12" t="inlineStr"/>
      <c r="AA3484" s="12">
        <f>N3484*O3484</f>
        <v/>
      </c>
    </row>
    <row r="3485">
      <c r="A3485" s="12" t="inlineStr">
        <is>
          <t>G-I-0211</t>
        </is>
      </c>
      <c r="B3485" s="12" t="inlineStr">
        <is>
          <t>G</t>
        </is>
      </c>
      <c r="C3485" s="12" t="inlineStr">
        <is>
          <t>Carbon capture</t>
        </is>
      </c>
      <c r="D3485" s="12" t="inlineStr">
        <is>
          <t>Analog instrument to JB JB-Reclaimer (thermal-AI01: 15 x 1 pr (field cables)</t>
        </is>
      </c>
      <c r="E3485" s="12" t="inlineStr"/>
      <c r="F3485" s="12" t="inlineStr">
        <is>
          <t>Reclaimer (thermal, intermittent)</t>
        </is>
      </c>
      <c r="G3485" s="12" t="inlineStr">
        <is>
          <t>JB-Reclaimer (thermal-AI01</t>
        </is>
      </c>
      <c r="H3485" s="12" t="inlineStr">
        <is>
          <t>Reclaimer (thermal, intermittent)</t>
        </is>
      </c>
      <c r="I3485" s="12" t="inlineStr">
        <is>
          <t>Instrumentation</t>
        </is>
      </c>
      <c r="J3485" s="12" t="inlineStr">
        <is>
          <t>Instrumentation PLTC / TC-ER 300 V, #18 twisted shielded pairs, overall shield</t>
        </is>
      </c>
      <c r="K3485" s="12" t="inlineStr">
        <is>
          <t>PLTC|1 pr|16</t>
        </is>
      </c>
      <c r="L3485" s="12" t="inlineStr">
        <is>
          <t>1 pr</t>
        </is>
      </c>
      <c r="M3485" s="12" t="inlineStr">
        <is>
          <t>16</t>
        </is>
      </c>
      <c r="N3485" s="12" t="n">
        <v>15</v>
      </c>
      <c r="O3485" s="12" t="n">
        <v>1</v>
      </c>
      <c r="P3485" s="12" t="n"/>
      <c r="Q3485" s="12" t="n"/>
      <c r="R3485" s="12" t="n"/>
      <c r="S3485" s="12" t="inlineStr">
        <is>
          <t>Tray / conduit</t>
        </is>
      </c>
      <c r="T3485" s="15" t="n">
        <v>82</v>
      </c>
      <c r="U3485" s="15" t="n">
        <v>10</v>
      </c>
      <c r="V3485" s="15">
        <f>ROUNDUP((T3485+U3485+2*'Read Me'!$B$13)*(1+'Read Me'!$B$12),-1)</f>
        <v/>
      </c>
      <c r="W3485" s="15">
        <f>V3485*N3485*O3485</f>
        <v/>
      </c>
      <c r="X3485" s="12">
        <f>IF(LEFT(I3485,2)="MV",2*N3485*IF(L3485="1/C",O3485,1),0)</f>
        <v/>
      </c>
      <c r="Y3485" s="12">
        <f>IF(OR(LEFT(K3485,4)="LVAX",LEFT(K3485,6)="MV15AX",LEFT(K3485,4)="CTAX",LEFT(K3485,2)="W|"),2*N3485*O3485,0)</f>
        <v/>
      </c>
      <c r="Z3485" s="12" t="inlineStr">
        <is>
          <t>device-to-JB field wiring, one cable per device</t>
        </is>
      </c>
      <c r="AA3485" s="12">
        <f>N3485*O3485</f>
        <v/>
      </c>
    </row>
    <row r="3486">
      <c r="A3486" s="12" t="inlineStr">
        <is>
          <t>G-I-0212</t>
        </is>
      </c>
      <c r="B3486" s="12" t="inlineStr">
        <is>
          <t>G</t>
        </is>
      </c>
      <c r="C3486" s="12" t="inlineStr">
        <is>
          <t>Carbon capture</t>
        </is>
      </c>
      <c r="D3486" s="12" t="inlineStr">
        <is>
          <t>Home run JB-Reclaimer (thermal-AI01 to the control / marshalling room</t>
        </is>
      </c>
      <c r="E3486" s="12" t="inlineStr"/>
      <c r="F3486" s="12" t="inlineStr">
        <is>
          <t>CCS F&amp;G / control</t>
        </is>
      </c>
      <c r="G3486" s="12" t="inlineStr">
        <is>
          <t>JB-Reclaimer (thermal-AI01</t>
        </is>
      </c>
      <c r="H3486" s="12" t="inlineStr">
        <is>
          <t>Reclaimer (thermal, intermittent)</t>
        </is>
      </c>
      <c r="I3486" s="12" t="inlineStr">
        <is>
          <t>Instrumentation</t>
        </is>
      </c>
      <c r="J3486" s="12" t="inlineStr">
        <is>
          <t>Instrumentation PLTC / TC-ER 300 V, #18 twisted shielded pairs, overall shield</t>
        </is>
      </c>
      <c r="K3486" s="12" t="inlineStr">
        <is>
          <t>PLTC|24 pr|18</t>
        </is>
      </c>
      <c r="L3486" s="12" t="inlineStr">
        <is>
          <t>24 pr</t>
        </is>
      </c>
      <c r="M3486" s="12" t="inlineStr">
        <is>
          <t>18</t>
        </is>
      </c>
      <c r="N3486" s="12" t="n">
        <v>1</v>
      </c>
      <c r="O3486" s="12" t="n">
        <v>1</v>
      </c>
      <c r="P3486" s="12" t="n"/>
      <c r="Q3486" s="12" t="n"/>
      <c r="R3486" s="12" t="n"/>
      <c r="S3486" s="12" t="inlineStr">
        <is>
          <t>Duct bank</t>
        </is>
      </c>
      <c r="T3486" s="15" t="n">
        <v>130</v>
      </c>
      <c r="U3486" s="15" t="n">
        <v>102</v>
      </c>
      <c r="V3486" s="15">
        <f>ROUNDUP((T3486+U3486+2*'Read Me'!$B$13)*(1+'Read Me'!$B$12),-1)</f>
        <v/>
      </c>
      <c r="W3486" s="15">
        <f>V3486*N3486*O3486</f>
        <v/>
      </c>
      <c r="X3486" s="12">
        <f>IF(LEFT(I3486,2)="MV",2*N3486*IF(L3486="1/C",O3486,1),0)</f>
        <v/>
      </c>
      <c r="Y3486" s="12">
        <f>IF(OR(LEFT(K3486,4)="LVAX",LEFT(K3486,6)="MV15AX",LEFT(K3486,4)="CTAX",LEFT(K3486,2)="W|"),2*N3486*O3486,0)</f>
        <v/>
      </c>
      <c r="Z3486" s="12" t="inlineStr"/>
      <c r="AA3486" s="12">
        <f>N3486*O3486</f>
        <v/>
      </c>
    </row>
    <row r="3487">
      <c r="A3487" s="12" t="inlineStr">
        <is>
          <t>G-I-0213</t>
        </is>
      </c>
      <c r="B3487" s="12" t="inlineStr">
        <is>
          <t>G</t>
        </is>
      </c>
      <c r="C3487" s="12" t="inlineStr">
        <is>
          <t>Carbon capture</t>
        </is>
      </c>
      <c r="D3487" s="12" t="inlineStr">
        <is>
          <t>Discrete device to JB JB-Reclaimer (thermal-DI01: 10 x 1 pr (field cables)</t>
        </is>
      </c>
      <c r="E3487" s="12" t="inlineStr"/>
      <c r="F3487" s="12" t="inlineStr">
        <is>
          <t>Reclaimer (thermal, intermittent)</t>
        </is>
      </c>
      <c r="G3487" s="12" t="inlineStr">
        <is>
          <t>JB-Reclaimer (thermal-DI01</t>
        </is>
      </c>
      <c r="H3487" s="12" t="inlineStr">
        <is>
          <t>Reclaimer (thermal, intermittent)</t>
        </is>
      </c>
      <c r="I3487" s="12" t="inlineStr">
        <is>
          <t>Instrumentation</t>
        </is>
      </c>
      <c r="J3487" s="12" t="inlineStr">
        <is>
          <t>Instrumentation PLTC / TC-ER 300 V, #18 twisted shielded pairs, overall shield</t>
        </is>
      </c>
      <c r="K3487" s="12" t="inlineStr">
        <is>
          <t>PLTC|1 pr|16</t>
        </is>
      </c>
      <c r="L3487" s="12" t="inlineStr">
        <is>
          <t>1 pr</t>
        </is>
      </c>
      <c r="M3487" s="12" t="inlineStr">
        <is>
          <t>16</t>
        </is>
      </c>
      <c r="N3487" s="12" t="n">
        <v>10</v>
      </c>
      <c r="O3487" s="12" t="n">
        <v>1</v>
      </c>
      <c r="P3487" s="12" t="n"/>
      <c r="Q3487" s="12" t="n"/>
      <c r="R3487" s="12" t="n"/>
      <c r="S3487" s="12" t="inlineStr">
        <is>
          <t>Tray / conduit</t>
        </is>
      </c>
      <c r="T3487" s="15" t="n">
        <v>82</v>
      </c>
      <c r="U3487" s="15" t="n">
        <v>10</v>
      </c>
      <c r="V3487" s="15">
        <f>ROUNDUP((T3487+U3487+2*'Read Me'!$B$13)*(1+'Read Me'!$B$12),-1)</f>
        <v/>
      </c>
      <c r="W3487" s="15">
        <f>V3487*N3487*O3487</f>
        <v/>
      </c>
      <c r="X3487" s="12">
        <f>IF(LEFT(I3487,2)="MV",2*N3487*IF(L3487="1/C",O3487,1),0)</f>
        <v/>
      </c>
      <c r="Y3487" s="12">
        <f>IF(OR(LEFT(K3487,4)="LVAX",LEFT(K3487,6)="MV15AX",LEFT(K3487,4)="CTAX",LEFT(K3487,2)="W|"),2*N3487*O3487,0)</f>
        <v/>
      </c>
      <c r="Z3487" s="12" t="inlineStr">
        <is>
          <t>device-to-JB field wiring, one cable per device</t>
        </is>
      </c>
      <c r="AA3487" s="12">
        <f>N3487*O3487</f>
        <v/>
      </c>
    </row>
    <row r="3488">
      <c r="A3488" s="12" t="inlineStr">
        <is>
          <t>G-I-0214</t>
        </is>
      </c>
      <c r="B3488" s="12" t="inlineStr">
        <is>
          <t>G</t>
        </is>
      </c>
      <c r="C3488" s="12" t="inlineStr">
        <is>
          <t>Carbon capture</t>
        </is>
      </c>
      <c r="D3488" s="12" t="inlineStr">
        <is>
          <t>Home run JB-Reclaimer (thermal-DI01 to the control / marshalling room</t>
        </is>
      </c>
      <c r="E3488" s="12" t="inlineStr"/>
      <c r="F3488" s="12" t="inlineStr">
        <is>
          <t>CCS F&amp;G / control</t>
        </is>
      </c>
      <c r="G3488" s="12" t="inlineStr">
        <is>
          <t>JB-Reclaimer (thermal-DI01</t>
        </is>
      </c>
      <c r="H3488" s="12" t="inlineStr">
        <is>
          <t>Reclaimer (thermal, intermittent)</t>
        </is>
      </c>
      <c r="I3488" s="12" t="inlineStr">
        <is>
          <t>Instrumentation</t>
        </is>
      </c>
      <c r="J3488" s="12" t="inlineStr">
        <is>
          <t>Instrumentation PLTC / TC-ER 300 V, #18 twisted shielded pairs, overall shield</t>
        </is>
      </c>
      <c r="K3488" s="12" t="inlineStr">
        <is>
          <t>PLTC|24 pr|18</t>
        </is>
      </c>
      <c r="L3488" s="12" t="inlineStr">
        <is>
          <t>24 pr</t>
        </is>
      </c>
      <c r="M3488" s="12" t="inlineStr">
        <is>
          <t>18</t>
        </is>
      </c>
      <c r="N3488" s="12" t="n">
        <v>1</v>
      </c>
      <c r="O3488" s="12" t="n">
        <v>1</v>
      </c>
      <c r="P3488" s="12" t="n"/>
      <c r="Q3488" s="12" t="n"/>
      <c r="R3488" s="12" t="n"/>
      <c r="S3488" s="12" t="inlineStr">
        <is>
          <t>Duct bank</t>
        </is>
      </c>
      <c r="T3488" s="15" t="n">
        <v>130</v>
      </c>
      <c r="U3488" s="15" t="n">
        <v>102</v>
      </c>
      <c r="V3488" s="15">
        <f>ROUNDUP((T3488+U3488+2*'Read Me'!$B$13)*(1+'Read Me'!$B$12),-1)</f>
        <v/>
      </c>
      <c r="W3488" s="15">
        <f>V3488*N3488*O3488</f>
        <v/>
      </c>
      <c r="X3488" s="12">
        <f>IF(LEFT(I3488,2)="MV",2*N3488*IF(L3488="1/C",O3488,1),0)</f>
        <v/>
      </c>
      <c r="Y3488" s="12">
        <f>IF(OR(LEFT(K3488,4)="LVAX",LEFT(K3488,6)="MV15AX",LEFT(K3488,4)="CTAX",LEFT(K3488,2)="W|"),2*N3488*O3488,0)</f>
        <v/>
      </c>
      <c r="Z3488" s="12" t="inlineStr"/>
      <c r="AA3488" s="12">
        <f>N3488*O3488</f>
        <v/>
      </c>
    </row>
    <row r="3489">
      <c r="A3489" s="12" t="inlineStr">
        <is>
          <t>G-I-0215</t>
        </is>
      </c>
      <c r="B3489" s="12" t="inlineStr">
        <is>
          <t>G</t>
        </is>
      </c>
      <c r="C3489" s="12" t="inlineStr">
        <is>
          <t>Carbon capture</t>
        </is>
      </c>
      <c r="D3489" s="12" t="inlineStr">
        <is>
          <t>Analog instrument to JB JB-Rich/lean pumps, c-AI01: 20 x 1 pr (field cables)</t>
        </is>
      </c>
      <c r="E3489" s="12" t="inlineStr"/>
      <c r="F3489" s="12" t="inlineStr">
        <is>
          <t>Rich/lean pumps, cross exchanger, lean cooler A</t>
        </is>
      </c>
      <c r="G3489" s="12" t="inlineStr">
        <is>
          <t>JB-Rich/lean pumps, c-AI01</t>
        </is>
      </c>
      <c r="H3489" s="12" t="inlineStr">
        <is>
          <t>Rich/lean pumps, cross exchanger, lean cooler A</t>
        </is>
      </c>
      <c r="I3489" s="12" t="inlineStr">
        <is>
          <t>Instrumentation</t>
        </is>
      </c>
      <c r="J3489" s="12" t="inlineStr">
        <is>
          <t>Instrumentation PLTC / TC-ER 300 V, #18 twisted shielded pairs, overall shield</t>
        </is>
      </c>
      <c r="K3489" s="12" t="inlineStr">
        <is>
          <t>PLTC|1 pr|16</t>
        </is>
      </c>
      <c r="L3489" s="12" t="inlineStr">
        <is>
          <t>1 pr</t>
        </is>
      </c>
      <c r="M3489" s="12" t="inlineStr">
        <is>
          <t>16</t>
        </is>
      </c>
      <c r="N3489" s="12" t="n">
        <v>20</v>
      </c>
      <c r="O3489" s="12" t="n">
        <v>1</v>
      </c>
      <c r="P3489" s="12" t="n"/>
      <c r="Q3489" s="12" t="n"/>
      <c r="R3489" s="12" t="n"/>
      <c r="S3489" s="12" t="inlineStr">
        <is>
          <t>Tray / conduit</t>
        </is>
      </c>
      <c r="T3489" s="15" t="n">
        <v>84</v>
      </c>
      <c r="U3489" s="15" t="n">
        <v>10</v>
      </c>
      <c r="V3489" s="15">
        <f>ROUNDUP((T3489+U3489+2*'Read Me'!$B$13)*(1+'Read Me'!$B$12),-1)</f>
        <v/>
      </c>
      <c r="W3489" s="15">
        <f>V3489*N3489*O3489</f>
        <v/>
      </c>
      <c r="X3489" s="12">
        <f>IF(LEFT(I3489,2)="MV",2*N3489*IF(L3489="1/C",O3489,1),0)</f>
        <v/>
      </c>
      <c r="Y3489" s="12">
        <f>IF(OR(LEFT(K3489,4)="LVAX",LEFT(K3489,6)="MV15AX",LEFT(K3489,4)="CTAX",LEFT(K3489,2)="W|"),2*N3489*O3489,0)</f>
        <v/>
      </c>
      <c r="Z3489" s="12" t="inlineStr">
        <is>
          <t>device-to-JB field wiring, one cable per device</t>
        </is>
      </c>
      <c r="AA3489" s="12">
        <f>N3489*O3489</f>
        <v/>
      </c>
    </row>
    <row r="3490">
      <c r="A3490" s="12" t="inlineStr">
        <is>
          <t>G-I-0216</t>
        </is>
      </c>
      <c r="B3490" s="12" t="inlineStr">
        <is>
          <t>G</t>
        </is>
      </c>
      <c r="C3490" s="12" t="inlineStr">
        <is>
          <t>Carbon capture</t>
        </is>
      </c>
      <c r="D3490" s="12" t="inlineStr">
        <is>
          <t>Home run JB-Rich/lean pumps, c-AI01 to the control / marshalling room</t>
        </is>
      </c>
      <c r="E3490" s="12" t="inlineStr"/>
      <c r="F3490" s="12" t="inlineStr">
        <is>
          <t>CCS F&amp;G / control</t>
        </is>
      </c>
      <c r="G3490" s="12" t="inlineStr">
        <is>
          <t>JB-Rich/lean pumps, c-AI01</t>
        </is>
      </c>
      <c r="H3490" s="12" t="inlineStr">
        <is>
          <t>Rich/lean pumps, cross exchanger, lean cooler A</t>
        </is>
      </c>
      <c r="I3490" s="12" t="inlineStr">
        <is>
          <t>Instrumentation</t>
        </is>
      </c>
      <c r="J3490" s="12" t="inlineStr">
        <is>
          <t>Instrumentation PLTC / TC-ER 300 V, #18 twisted shielded pairs, overall shield</t>
        </is>
      </c>
      <c r="K3490" s="12" t="inlineStr">
        <is>
          <t>PLTC|24 pr|18</t>
        </is>
      </c>
      <c r="L3490" s="12" t="inlineStr">
        <is>
          <t>24 pr</t>
        </is>
      </c>
      <c r="M3490" s="12" t="inlineStr">
        <is>
          <t>18</t>
        </is>
      </c>
      <c r="N3490" s="12" t="n">
        <v>1</v>
      </c>
      <c r="O3490" s="12" t="n">
        <v>1</v>
      </c>
      <c r="P3490" s="12" t="n"/>
      <c r="Q3490" s="12" t="n"/>
      <c r="R3490" s="12" t="n"/>
      <c r="S3490" s="12" t="inlineStr">
        <is>
          <t>Tray</t>
        </is>
      </c>
      <c r="T3490" s="15" t="n">
        <v>834</v>
      </c>
      <c r="U3490" s="15" t="n">
        <v>181</v>
      </c>
      <c r="V3490" s="15">
        <f>ROUNDUP((T3490+U3490+2*'Read Me'!$B$13)*(1+'Read Me'!$B$12),-1)</f>
        <v/>
      </c>
      <c r="W3490" s="15">
        <f>V3490*N3490*O3490</f>
        <v/>
      </c>
      <c r="X3490" s="12">
        <f>IF(LEFT(I3490,2)="MV",2*N3490*IF(L3490="1/C",O3490,1),0)</f>
        <v/>
      </c>
      <c r="Y3490" s="12">
        <f>IF(OR(LEFT(K3490,4)="LVAX",LEFT(K3490,6)="MV15AX",LEFT(K3490,4)="CTAX",LEFT(K3490,2)="W|"),2*N3490*O3490,0)</f>
        <v/>
      </c>
      <c r="Z3490" s="12" t="inlineStr"/>
      <c r="AA3490" s="12">
        <f>N3490*O3490</f>
        <v/>
      </c>
    </row>
    <row r="3491">
      <c r="A3491" s="12" t="inlineStr">
        <is>
          <t>G-I-0217</t>
        </is>
      </c>
      <c r="B3491" s="12" t="inlineStr">
        <is>
          <t>G</t>
        </is>
      </c>
      <c r="C3491" s="12" t="inlineStr">
        <is>
          <t>Carbon capture</t>
        </is>
      </c>
      <c r="D3491" s="12" t="inlineStr">
        <is>
          <t>Discrete device to JB JB-Rich/lean pumps, c-DI01: 20 x 1 pr (field cables)</t>
        </is>
      </c>
      <c r="E3491" s="12" t="inlineStr"/>
      <c r="F3491" s="12" t="inlineStr">
        <is>
          <t>Rich/lean pumps, cross exchanger, lean cooler A</t>
        </is>
      </c>
      <c r="G3491" s="12" t="inlineStr">
        <is>
          <t>JB-Rich/lean pumps, c-DI01</t>
        </is>
      </c>
      <c r="H3491" s="12" t="inlineStr">
        <is>
          <t>Rich/lean pumps, cross exchanger, lean cooler A</t>
        </is>
      </c>
      <c r="I3491" s="12" t="inlineStr">
        <is>
          <t>Instrumentation</t>
        </is>
      </c>
      <c r="J3491" s="12" t="inlineStr">
        <is>
          <t>Instrumentation PLTC / TC-ER 300 V, #18 twisted shielded pairs, overall shield</t>
        </is>
      </c>
      <c r="K3491" s="12" t="inlineStr">
        <is>
          <t>PLTC|1 pr|16</t>
        </is>
      </c>
      <c r="L3491" s="12" t="inlineStr">
        <is>
          <t>1 pr</t>
        </is>
      </c>
      <c r="M3491" s="12" t="inlineStr">
        <is>
          <t>16</t>
        </is>
      </c>
      <c r="N3491" s="12" t="n">
        <v>20</v>
      </c>
      <c r="O3491" s="12" t="n">
        <v>1</v>
      </c>
      <c r="P3491" s="12" t="n"/>
      <c r="Q3491" s="12" t="n"/>
      <c r="R3491" s="12" t="n"/>
      <c r="S3491" s="12" t="inlineStr">
        <is>
          <t>Tray / conduit</t>
        </is>
      </c>
      <c r="T3491" s="15" t="n">
        <v>84</v>
      </c>
      <c r="U3491" s="15" t="n">
        <v>10</v>
      </c>
      <c r="V3491" s="15">
        <f>ROUNDUP((T3491+U3491+2*'Read Me'!$B$13)*(1+'Read Me'!$B$12),-1)</f>
        <v/>
      </c>
      <c r="W3491" s="15">
        <f>V3491*N3491*O3491</f>
        <v/>
      </c>
      <c r="X3491" s="12">
        <f>IF(LEFT(I3491,2)="MV",2*N3491*IF(L3491="1/C",O3491,1),0)</f>
        <v/>
      </c>
      <c r="Y3491" s="12">
        <f>IF(OR(LEFT(K3491,4)="LVAX",LEFT(K3491,6)="MV15AX",LEFT(K3491,4)="CTAX",LEFT(K3491,2)="W|"),2*N3491*O3491,0)</f>
        <v/>
      </c>
      <c r="Z3491" s="12" t="inlineStr">
        <is>
          <t>device-to-JB field wiring, one cable per device</t>
        </is>
      </c>
      <c r="AA3491" s="12">
        <f>N3491*O3491</f>
        <v/>
      </c>
    </row>
    <row r="3492">
      <c r="A3492" s="12" t="inlineStr">
        <is>
          <t>G-I-0218</t>
        </is>
      </c>
      <c r="B3492" s="12" t="inlineStr">
        <is>
          <t>G</t>
        </is>
      </c>
      <c r="C3492" s="12" t="inlineStr">
        <is>
          <t>Carbon capture</t>
        </is>
      </c>
      <c r="D3492" s="12" t="inlineStr">
        <is>
          <t>Home run JB-Rich/lean pumps, c-DI01 to the control / marshalling room</t>
        </is>
      </c>
      <c r="E3492" s="12" t="inlineStr"/>
      <c r="F3492" s="12" t="inlineStr">
        <is>
          <t>CCS F&amp;G / control</t>
        </is>
      </c>
      <c r="G3492" s="12" t="inlineStr">
        <is>
          <t>JB-Rich/lean pumps, c-DI01</t>
        </is>
      </c>
      <c r="H3492" s="12" t="inlineStr">
        <is>
          <t>Rich/lean pumps, cross exchanger, lean cooler A</t>
        </is>
      </c>
      <c r="I3492" s="12" t="inlineStr">
        <is>
          <t>Instrumentation</t>
        </is>
      </c>
      <c r="J3492" s="12" t="inlineStr">
        <is>
          <t>Instrumentation PLTC / TC-ER 300 V, #18 twisted shielded pairs, overall shield</t>
        </is>
      </c>
      <c r="K3492" s="12" t="inlineStr">
        <is>
          <t>PLTC|24 pr|18</t>
        </is>
      </c>
      <c r="L3492" s="12" t="inlineStr">
        <is>
          <t>24 pr</t>
        </is>
      </c>
      <c r="M3492" s="12" t="inlineStr">
        <is>
          <t>18</t>
        </is>
      </c>
      <c r="N3492" s="12" t="n">
        <v>1</v>
      </c>
      <c r="O3492" s="12" t="n">
        <v>1</v>
      </c>
      <c r="P3492" s="12" t="n"/>
      <c r="Q3492" s="12" t="n"/>
      <c r="R3492" s="12" t="n"/>
      <c r="S3492" s="12" t="inlineStr">
        <is>
          <t>Tray</t>
        </is>
      </c>
      <c r="T3492" s="15" t="n">
        <v>834</v>
      </c>
      <c r="U3492" s="15" t="n">
        <v>181</v>
      </c>
      <c r="V3492" s="15">
        <f>ROUNDUP((T3492+U3492+2*'Read Me'!$B$13)*(1+'Read Me'!$B$12),-1)</f>
        <v/>
      </c>
      <c r="W3492" s="15">
        <f>V3492*N3492*O3492</f>
        <v/>
      </c>
      <c r="X3492" s="12">
        <f>IF(LEFT(I3492,2)="MV",2*N3492*IF(L3492="1/C",O3492,1),0)</f>
        <v/>
      </c>
      <c r="Y3492" s="12">
        <f>IF(OR(LEFT(K3492,4)="LVAX",LEFT(K3492,6)="MV15AX",LEFT(K3492,4)="CTAX",LEFT(K3492,2)="W|"),2*N3492*O3492,0)</f>
        <v/>
      </c>
      <c r="Z3492" s="12" t="inlineStr"/>
      <c r="AA3492" s="12">
        <f>N3492*O3492</f>
        <v/>
      </c>
    </row>
    <row r="3493">
      <c r="A3493" s="12" t="inlineStr">
        <is>
          <t>G-I-0219</t>
        </is>
      </c>
      <c r="B3493" s="12" t="inlineStr">
        <is>
          <t>G</t>
        </is>
      </c>
      <c r="C3493" s="12" t="inlineStr">
        <is>
          <t>Carbon capture</t>
        </is>
      </c>
      <c r="D3493" s="12" t="inlineStr">
        <is>
          <t>RTD to JB JB-Rich/lean pumps, c-RTD01: 10 x 1 tri (field cables)</t>
        </is>
      </c>
      <c r="E3493" s="12" t="inlineStr"/>
      <c r="F3493" s="12" t="inlineStr">
        <is>
          <t>Rich/lean pumps, cross exchanger, lean cooler A</t>
        </is>
      </c>
      <c r="G3493" s="12" t="inlineStr">
        <is>
          <t>JB-Rich/lean pumps, c-RTD01</t>
        </is>
      </c>
      <c r="H3493" s="12" t="inlineStr">
        <is>
          <t>Rich/lean pumps, cross exchanger, lean cooler A</t>
        </is>
      </c>
      <c r="I3493" s="12" t="inlineStr">
        <is>
          <t>Instrumentation</t>
        </is>
      </c>
      <c r="J3493" s="12" t="inlineStr">
        <is>
          <t>RTD cable, #18 shielded triads, PLTC</t>
        </is>
      </c>
      <c r="K3493" s="12" t="inlineStr">
        <is>
          <t>RTD|1 tri|18</t>
        </is>
      </c>
      <c r="L3493" s="12" t="inlineStr">
        <is>
          <t>1 tri</t>
        </is>
      </c>
      <c r="M3493" s="12" t="inlineStr">
        <is>
          <t>18</t>
        </is>
      </c>
      <c r="N3493" s="12" t="n">
        <v>10</v>
      </c>
      <c r="O3493" s="12" t="n">
        <v>1</v>
      </c>
      <c r="P3493" s="12" t="n"/>
      <c r="Q3493" s="12" t="n"/>
      <c r="R3493" s="12" t="n"/>
      <c r="S3493" s="12" t="inlineStr">
        <is>
          <t>Tray / conduit</t>
        </is>
      </c>
      <c r="T3493" s="15" t="n">
        <v>84</v>
      </c>
      <c r="U3493" s="15" t="n">
        <v>10</v>
      </c>
      <c r="V3493" s="15">
        <f>ROUNDUP((T3493+U3493+2*'Read Me'!$B$13)*(1+'Read Me'!$B$12),-1)</f>
        <v/>
      </c>
      <c r="W3493" s="15">
        <f>V3493*N3493*O3493</f>
        <v/>
      </c>
      <c r="X3493" s="12">
        <f>IF(LEFT(I3493,2)="MV",2*N3493*IF(L3493="1/C",O3493,1),0)</f>
        <v/>
      </c>
      <c r="Y3493" s="12">
        <f>IF(OR(LEFT(K3493,4)="LVAX",LEFT(K3493,6)="MV15AX",LEFT(K3493,4)="CTAX",LEFT(K3493,2)="W|"),2*N3493*O3493,0)</f>
        <v/>
      </c>
      <c r="Z3493" s="12" t="inlineStr">
        <is>
          <t>device-to-JB field wiring, one cable per device</t>
        </is>
      </c>
      <c r="AA3493" s="12">
        <f>N3493*O3493</f>
        <v/>
      </c>
    </row>
    <row r="3494">
      <c r="A3494" s="12" t="inlineStr">
        <is>
          <t>G-I-0220</t>
        </is>
      </c>
      <c r="B3494" s="12" t="inlineStr">
        <is>
          <t>G</t>
        </is>
      </c>
      <c r="C3494" s="12" t="inlineStr">
        <is>
          <t>Carbon capture</t>
        </is>
      </c>
      <c r="D3494" s="12" t="inlineStr">
        <is>
          <t>Home run JB-Rich/lean pumps, c-RTD01 to the control / marshalling room</t>
        </is>
      </c>
      <c r="E3494" s="12" t="inlineStr"/>
      <c r="F3494" s="12" t="inlineStr">
        <is>
          <t>CCS F&amp;G / control</t>
        </is>
      </c>
      <c r="G3494" s="12" t="inlineStr">
        <is>
          <t>JB-Rich/lean pumps, c-RTD01</t>
        </is>
      </c>
      <c r="H3494" s="12" t="inlineStr">
        <is>
          <t>Rich/lean pumps, cross exchanger, lean cooler A</t>
        </is>
      </c>
      <c r="I3494" s="12" t="inlineStr">
        <is>
          <t>Instrumentation</t>
        </is>
      </c>
      <c r="J3494" s="12" t="inlineStr">
        <is>
          <t>RTD cable, #18 shielded triads, PLTC</t>
        </is>
      </c>
      <c r="K3494" s="12" t="inlineStr">
        <is>
          <t>RTD|12 tri|18</t>
        </is>
      </c>
      <c r="L3494" s="12" t="inlineStr">
        <is>
          <t>12 tri</t>
        </is>
      </c>
      <c r="M3494" s="12" t="inlineStr">
        <is>
          <t>18</t>
        </is>
      </c>
      <c r="N3494" s="12" t="n">
        <v>1</v>
      </c>
      <c r="O3494" s="12" t="n">
        <v>1</v>
      </c>
      <c r="P3494" s="12" t="n"/>
      <c r="Q3494" s="12" t="n"/>
      <c r="R3494" s="12" t="n"/>
      <c r="S3494" s="12" t="inlineStr">
        <is>
          <t>Tray</t>
        </is>
      </c>
      <c r="T3494" s="15" t="n">
        <v>834</v>
      </c>
      <c r="U3494" s="15" t="n">
        <v>181</v>
      </c>
      <c r="V3494" s="15">
        <f>ROUNDUP((T3494+U3494+2*'Read Me'!$B$13)*(1+'Read Me'!$B$12),-1)</f>
        <v/>
      </c>
      <c r="W3494" s="15">
        <f>V3494*N3494*O3494</f>
        <v/>
      </c>
      <c r="X3494" s="12">
        <f>IF(LEFT(I3494,2)="MV",2*N3494*IF(L3494="1/C",O3494,1),0)</f>
        <v/>
      </c>
      <c r="Y3494" s="12">
        <f>IF(OR(LEFT(K3494,4)="LVAX",LEFT(K3494,6)="MV15AX",LEFT(K3494,4)="CTAX",LEFT(K3494,2)="W|"),2*N3494*O3494,0)</f>
        <v/>
      </c>
      <c r="Z3494" s="12" t="inlineStr"/>
      <c r="AA3494" s="12">
        <f>N3494*O3494</f>
        <v/>
      </c>
    </row>
    <row r="3495">
      <c r="A3495" s="12" t="inlineStr">
        <is>
          <t>G-I-0221</t>
        </is>
      </c>
      <c r="B3495" s="12" t="inlineStr">
        <is>
          <t>G</t>
        </is>
      </c>
      <c r="C3495" s="12" t="inlineStr">
        <is>
          <t>Carbon capture</t>
        </is>
      </c>
      <c r="D3495" s="12" t="inlineStr">
        <is>
          <t>RTD to JB JB-Rich/lean pumps, c-RTD02: 2 x 1 tri (field cables)</t>
        </is>
      </c>
      <c r="E3495" s="12" t="inlineStr"/>
      <c r="F3495" s="12" t="inlineStr">
        <is>
          <t>Rich/lean pumps, cross exchanger, lean cooler A</t>
        </is>
      </c>
      <c r="G3495" s="12" t="inlineStr">
        <is>
          <t>JB-Rich/lean pumps, c-RTD02</t>
        </is>
      </c>
      <c r="H3495" s="12" t="inlineStr">
        <is>
          <t>Rich/lean pumps, cross exchanger, lean cooler A</t>
        </is>
      </c>
      <c r="I3495" s="12" t="inlineStr">
        <is>
          <t>Instrumentation</t>
        </is>
      </c>
      <c r="J3495" s="12" t="inlineStr">
        <is>
          <t>RTD cable, #18 shielded triads, PLTC</t>
        </is>
      </c>
      <c r="K3495" s="12" t="inlineStr">
        <is>
          <t>RTD|1 tri|18</t>
        </is>
      </c>
      <c r="L3495" s="12" t="inlineStr">
        <is>
          <t>1 tri</t>
        </is>
      </c>
      <c r="M3495" s="12" t="inlineStr">
        <is>
          <t>18</t>
        </is>
      </c>
      <c r="N3495" s="12" t="n">
        <v>2</v>
      </c>
      <c r="O3495" s="12" t="n">
        <v>1</v>
      </c>
      <c r="P3495" s="12" t="n"/>
      <c r="Q3495" s="12" t="n"/>
      <c r="R3495" s="12" t="n"/>
      <c r="S3495" s="12" t="inlineStr">
        <is>
          <t>Tray / conduit</t>
        </is>
      </c>
      <c r="T3495" s="15" t="n">
        <v>84</v>
      </c>
      <c r="U3495" s="15" t="n">
        <v>10</v>
      </c>
      <c r="V3495" s="15">
        <f>ROUNDUP((T3495+U3495+2*'Read Me'!$B$13)*(1+'Read Me'!$B$12),-1)</f>
        <v/>
      </c>
      <c r="W3495" s="15">
        <f>V3495*N3495*O3495</f>
        <v/>
      </c>
      <c r="X3495" s="12">
        <f>IF(LEFT(I3495,2)="MV",2*N3495*IF(L3495="1/C",O3495,1),0)</f>
        <v/>
      </c>
      <c r="Y3495" s="12">
        <f>IF(OR(LEFT(K3495,4)="LVAX",LEFT(K3495,6)="MV15AX",LEFT(K3495,4)="CTAX",LEFT(K3495,2)="W|"),2*N3495*O3495,0)</f>
        <v/>
      </c>
      <c r="Z3495" s="12" t="inlineStr">
        <is>
          <t>device-to-JB field wiring, one cable per device</t>
        </is>
      </c>
      <c r="AA3495" s="12">
        <f>N3495*O3495</f>
        <v/>
      </c>
    </row>
    <row r="3496">
      <c r="A3496" s="12" t="inlineStr">
        <is>
          <t>G-I-0222</t>
        </is>
      </c>
      <c r="B3496" s="12" t="inlineStr">
        <is>
          <t>G</t>
        </is>
      </c>
      <c r="C3496" s="12" t="inlineStr">
        <is>
          <t>Carbon capture</t>
        </is>
      </c>
      <c r="D3496" s="12" t="inlineStr">
        <is>
          <t>Home run JB-Rich/lean pumps, c-RTD02 to the control / marshalling room</t>
        </is>
      </c>
      <c r="E3496" s="12" t="inlineStr"/>
      <c r="F3496" s="12" t="inlineStr">
        <is>
          <t>CCS F&amp;G / control</t>
        </is>
      </c>
      <c r="G3496" s="12" t="inlineStr">
        <is>
          <t>JB-Rich/lean pumps, c-RTD02</t>
        </is>
      </c>
      <c r="H3496" s="12" t="inlineStr">
        <is>
          <t>Rich/lean pumps, cross exchanger, lean cooler A</t>
        </is>
      </c>
      <c r="I3496" s="12" t="inlineStr">
        <is>
          <t>Instrumentation</t>
        </is>
      </c>
      <c r="J3496" s="12" t="inlineStr">
        <is>
          <t>RTD cable, #18 shielded triads, PLTC</t>
        </is>
      </c>
      <c r="K3496" s="12" t="inlineStr">
        <is>
          <t>RTD|12 tri|18</t>
        </is>
      </c>
      <c r="L3496" s="12" t="inlineStr">
        <is>
          <t>12 tri</t>
        </is>
      </c>
      <c r="M3496" s="12" t="inlineStr">
        <is>
          <t>18</t>
        </is>
      </c>
      <c r="N3496" s="12" t="n">
        <v>1</v>
      </c>
      <c r="O3496" s="12" t="n">
        <v>1</v>
      </c>
      <c r="P3496" s="12" t="n"/>
      <c r="Q3496" s="12" t="n"/>
      <c r="R3496" s="12" t="n"/>
      <c r="S3496" s="12" t="inlineStr">
        <is>
          <t>Tray</t>
        </is>
      </c>
      <c r="T3496" s="15" t="n">
        <v>834</v>
      </c>
      <c r="U3496" s="15" t="n">
        <v>181</v>
      </c>
      <c r="V3496" s="15">
        <f>ROUNDUP((T3496+U3496+2*'Read Me'!$B$13)*(1+'Read Me'!$B$12),-1)</f>
        <v/>
      </c>
      <c r="W3496" s="15">
        <f>V3496*N3496*O3496</f>
        <v/>
      </c>
      <c r="X3496" s="12">
        <f>IF(LEFT(I3496,2)="MV",2*N3496*IF(L3496="1/C",O3496,1),0)</f>
        <v/>
      </c>
      <c r="Y3496" s="12">
        <f>IF(OR(LEFT(K3496,4)="LVAX",LEFT(K3496,6)="MV15AX",LEFT(K3496,4)="CTAX",LEFT(K3496,2)="W|"),2*N3496*O3496,0)</f>
        <v/>
      </c>
      <c r="Z3496" s="12" t="inlineStr"/>
      <c r="AA3496" s="12">
        <f>N3496*O3496</f>
        <v/>
      </c>
    </row>
    <row r="3497">
      <c r="A3497" s="12" t="inlineStr">
        <is>
          <t>G-I-0223</t>
        </is>
      </c>
      <c r="B3497" s="12" t="inlineStr">
        <is>
          <t>G</t>
        </is>
      </c>
      <c r="C3497" s="12" t="inlineStr">
        <is>
          <t>Carbon capture</t>
        </is>
      </c>
      <c r="D3497" s="12" t="inlineStr">
        <is>
          <t>Analog instrument to JB JB-Rich/lean pumps, c-AI01: 20 x 1 pr (field cables)</t>
        </is>
      </c>
      <c r="E3497" s="12" t="inlineStr"/>
      <c r="F3497" s="12" t="inlineStr">
        <is>
          <t>Rich/lean pumps, cross exchanger, lean cooler B</t>
        </is>
      </c>
      <c r="G3497" s="12" t="inlineStr">
        <is>
          <t>JB-Rich/lean pumps, c-AI01</t>
        </is>
      </c>
      <c r="H3497" s="12" t="inlineStr">
        <is>
          <t>Rich/lean pumps, cross exchanger, lean cooler B</t>
        </is>
      </c>
      <c r="I3497" s="12" t="inlineStr">
        <is>
          <t>Instrumentation</t>
        </is>
      </c>
      <c r="J3497" s="12" t="inlineStr">
        <is>
          <t>Instrumentation PLTC / TC-ER 300 V, #18 twisted shielded pairs, overall shield</t>
        </is>
      </c>
      <c r="K3497" s="12" t="inlineStr">
        <is>
          <t>PLTC|1 pr|16</t>
        </is>
      </c>
      <c r="L3497" s="12" t="inlineStr">
        <is>
          <t>1 pr</t>
        </is>
      </c>
      <c r="M3497" s="12" t="inlineStr">
        <is>
          <t>16</t>
        </is>
      </c>
      <c r="N3497" s="12" t="n">
        <v>20</v>
      </c>
      <c r="O3497" s="12" t="n">
        <v>1</v>
      </c>
      <c r="P3497" s="12" t="n"/>
      <c r="Q3497" s="12" t="n"/>
      <c r="R3497" s="12" t="n"/>
      <c r="S3497" s="12" t="inlineStr">
        <is>
          <t>Tray / conduit</t>
        </is>
      </c>
      <c r="T3497" s="15" t="n">
        <v>84</v>
      </c>
      <c r="U3497" s="15" t="n">
        <v>10</v>
      </c>
      <c r="V3497" s="15">
        <f>ROUNDUP((T3497+U3497+2*'Read Me'!$B$13)*(1+'Read Me'!$B$12),-1)</f>
        <v/>
      </c>
      <c r="W3497" s="15">
        <f>V3497*N3497*O3497</f>
        <v/>
      </c>
      <c r="X3497" s="12">
        <f>IF(LEFT(I3497,2)="MV",2*N3497*IF(L3497="1/C",O3497,1),0)</f>
        <v/>
      </c>
      <c r="Y3497" s="12">
        <f>IF(OR(LEFT(K3497,4)="LVAX",LEFT(K3497,6)="MV15AX",LEFT(K3497,4)="CTAX",LEFT(K3497,2)="W|"),2*N3497*O3497,0)</f>
        <v/>
      </c>
      <c r="Z3497" s="12" t="inlineStr">
        <is>
          <t>device-to-JB field wiring, one cable per device</t>
        </is>
      </c>
      <c r="AA3497" s="12">
        <f>N3497*O3497</f>
        <v/>
      </c>
    </row>
    <row r="3498">
      <c r="A3498" s="12" t="inlineStr">
        <is>
          <t>G-I-0224</t>
        </is>
      </c>
      <c r="B3498" s="12" t="inlineStr">
        <is>
          <t>G</t>
        </is>
      </c>
      <c r="C3498" s="12" t="inlineStr">
        <is>
          <t>Carbon capture</t>
        </is>
      </c>
      <c r="D3498" s="12" t="inlineStr">
        <is>
          <t>Home run JB-Rich/lean pumps, c-AI01 to the control / marshalling room</t>
        </is>
      </c>
      <c r="E3498" s="12" t="inlineStr"/>
      <c r="F3498" s="12" t="inlineStr">
        <is>
          <t>CCS F&amp;G / control</t>
        </is>
      </c>
      <c r="G3498" s="12" t="inlineStr">
        <is>
          <t>JB-Rich/lean pumps, c-AI01</t>
        </is>
      </c>
      <c r="H3498" s="12" t="inlineStr">
        <is>
          <t>Rich/lean pumps, cross exchanger, lean cooler B</t>
        </is>
      </c>
      <c r="I3498" s="12" t="inlineStr">
        <is>
          <t>Instrumentation</t>
        </is>
      </c>
      <c r="J3498" s="12" t="inlineStr">
        <is>
          <t>Instrumentation PLTC / TC-ER 300 V, #18 twisted shielded pairs, overall shield</t>
        </is>
      </c>
      <c r="K3498" s="12" t="inlineStr">
        <is>
          <t>PLTC|24 pr|18</t>
        </is>
      </c>
      <c r="L3498" s="12" t="inlineStr">
        <is>
          <t>24 pr</t>
        </is>
      </c>
      <c r="M3498" s="12" t="inlineStr">
        <is>
          <t>18</t>
        </is>
      </c>
      <c r="N3498" s="12" t="n">
        <v>1</v>
      </c>
      <c r="O3498" s="12" t="n">
        <v>1</v>
      </c>
      <c r="P3498" s="12" t="n"/>
      <c r="Q3498" s="12" t="n"/>
      <c r="R3498" s="12" t="n"/>
      <c r="S3498" s="12" t="inlineStr">
        <is>
          <t>Duct bank</t>
        </is>
      </c>
      <c r="T3498" s="15" t="n">
        <v>674</v>
      </c>
      <c r="U3498" s="15" t="n">
        <v>181</v>
      </c>
      <c r="V3498" s="15">
        <f>ROUNDUP((T3498+U3498+2*'Read Me'!$B$13)*(1+'Read Me'!$B$12),-1)</f>
        <v/>
      </c>
      <c r="W3498" s="15">
        <f>V3498*N3498*O3498</f>
        <v/>
      </c>
      <c r="X3498" s="12">
        <f>IF(LEFT(I3498,2)="MV",2*N3498*IF(L3498="1/C",O3498,1),0)</f>
        <v/>
      </c>
      <c r="Y3498" s="12">
        <f>IF(OR(LEFT(K3498,4)="LVAX",LEFT(K3498,6)="MV15AX",LEFT(K3498,4)="CTAX",LEFT(K3498,2)="W|"),2*N3498*O3498,0)</f>
        <v/>
      </c>
      <c r="Z3498" s="12" t="inlineStr"/>
      <c r="AA3498" s="12">
        <f>N3498*O3498</f>
        <v/>
      </c>
    </row>
    <row r="3499">
      <c r="A3499" s="12" t="inlineStr">
        <is>
          <t>G-I-0225</t>
        </is>
      </c>
      <c r="B3499" s="12" t="inlineStr">
        <is>
          <t>G</t>
        </is>
      </c>
      <c r="C3499" s="12" t="inlineStr">
        <is>
          <t>Carbon capture</t>
        </is>
      </c>
      <c r="D3499" s="12" t="inlineStr">
        <is>
          <t>Discrete device to JB JB-Rich/lean pumps, c-DI01: 20 x 1 pr (field cables)</t>
        </is>
      </c>
      <c r="E3499" s="12" t="inlineStr"/>
      <c r="F3499" s="12" t="inlineStr">
        <is>
          <t>Rich/lean pumps, cross exchanger, lean cooler B</t>
        </is>
      </c>
      <c r="G3499" s="12" t="inlineStr">
        <is>
          <t>JB-Rich/lean pumps, c-DI01</t>
        </is>
      </c>
      <c r="H3499" s="12" t="inlineStr">
        <is>
          <t>Rich/lean pumps, cross exchanger, lean cooler B</t>
        </is>
      </c>
      <c r="I3499" s="12" t="inlineStr">
        <is>
          <t>Instrumentation</t>
        </is>
      </c>
      <c r="J3499" s="12" t="inlineStr">
        <is>
          <t>Instrumentation PLTC / TC-ER 300 V, #18 twisted shielded pairs, overall shield</t>
        </is>
      </c>
      <c r="K3499" s="12" t="inlineStr">
        <is>
          <t>PLTC|1 pr|16</t>
        </is>
      </c>
      <c r="L3499" s="12" t="inlineStr">
        <is>
          <t>1 pr</t>
        </is>
      </c>
      <c r="M3499" s="12" t="inlineStr">
        <is>
          <t>16</t>
        </is>
      </c>
      <c r="N3499" s="12" t="n">
        <v>20</v>
      </c>
      <c r="O3499" s="12" t="n">
        <v>1</v>
      </c>
      <c r="P3499" s="12" t="n"/>
      <c r="Q3499" s="12" t="n"/>
      <c r="R3499" s="12" t="n"/>
      <c r="S3499" s="12" t="inlineStr">
        <is>
          <t>Tray / conduit</t>
        </is>
      </c>
      <c r="T3499" s="15" t="n">
        <v>84</v>
      </c>
      <c r="U3499" s="15" t="n">
        <v>10</v>
      </c>
      <c r="V3499" s="15">
        <f>ROUNDUP((T3499+U3499+2*'Read Me'!$B$13)*(1+'Read Me'!$B$12),-1)</f>
        <v/>
      </c>
      <c r="W3499" s="15">
        <f>V3499*N3499*O3499</f>
        <v/>
      </c>
      <c r="X3499" s="12">
        <f>IF(LEFT(I3499,2)="MV",2*N3499*IF(L3499="1/C",O3499,1),0)</f>
        <v/>
      </c>
      <c r="Y3499" s="12">
        <f>IF(OR(LEFT(K3499,4)="LVAX",LEFT(K3499,6)="MV15AX",LEFT(K3499,4)="CTAX",LEFT(K3499,2)="W|"),2*N3499*O3499,0)</f>
        <v/>
      </c>
      <c r="Z3499" s="12" t="inlineStr">
        <is>
          <t>device-to-JB field wiring, one cable per device</t>
        </is>
      </c>
      <c r="AA3499" s="12">
        <f>N3499*O3499</f>
        <v/>
      </c>
    </row>
    <row r="3500">
      <c r="A3500" s="12" t="inlineStr">
        <is>
          <t>G-I-0226</t>
        </is>
      </c>
      <c r="B3500" s="12" t="inlineStr">
        <is>
          <t>G</t>
        </is>
      </c>
      <c r="C3500" s="12" t="inlineStr">
        <is>
          <t>Carbon capture</t>
        </is>
      </c>
      <c r="D3500" s="12" t="inlineStr">
        <is>
          <t>Home run JB-Rich/lean pumps, c-DI01 to the control / marshalling room</t>
        </is>
      </c>
      <c r="E3500" s="12" t="inlineStr"/>
      <c r="F3500" s="12" t="inlineStr">
        <is>
          <t>CCS F&amp;G / control</t>
        </is>
      </c>
      <c r="G3500" s="12" t="inlineStr">
        <is>
          <t>JB-Rich/lean pumps, c-DI01</t>
        </is>
      </c>
      <c r="H3500" s="12" t="inlineStr">
        <is>
          <t>Rich/lean pumps, cross exchanger, lean cooler B</t>
        </is>
      </c>
      <c r="I3500" s="12" t="inlineStr">
        <is>
          <t>Instrumentation</t>
        </is>
      </c>
      <c r="J3500" s="12" t="inlineStr">
        <is>
          <t>Instrumentation PLTC / TC-ER 300 V, #18 twisted shielded pairs, overall shield</t>
        </is>
      </c>
      <c r="K3500" s="12" t="inlineStr">
        <is>
          <t>PLTC|24 pr|18</t>
        </is>
      </c>
      <c r="L3500" s="12" t="inlineStr">
        <is>
          <t>24 pr</t>
        </is>
      </c>
      <c r="M3500" s="12" t="inlineStr">
        <is>
          <t>18</t>
        </is>
      </c>
      <c r="N3500" s="12" t="n">
        <v>1</v>
      </c>
      <c r="O3500" s="12" t="n">
        <v>1</v>
      </c>
      <c r="P3500" s="12" t="n"/>
      <c r="Q3500" s="12" t="n"/>
      <c r="R3500" s="12" t="n"/>
      <c r="S3500" s="12" t="inlineStr">
        <is>
          <t>Duct bank</t>
        </is>
      </c>
      <c r="T3500" s="15" t="n">
        <v>674</v>
      </c>
      <c r="U3500" s="15" t="n">
        <v>181</v>
      </c>
      <c r="V3500" s="15">
        <f>ROUNDUP((T3500+U3500+2*'Read Me'!$B$13)*(1+'Read Me'!$B$12),-1)</f>
        <v/>
      </c>
      <c r="W3500" s="15">
        <f>V3500*N3500*O3500</f>
        <v/>
      </c>
      <c r="X3500" s="12">
        <f>IF(LEFT(I3500,2)="MV",2*N3500*IF(L3500="1/C",O3500,1),0)</f>
        <v/>
      </c>
      <c r="Y3500" s="12">
        <f>IF(OR(LEFT(K3500,4)="LVAX",LEFT(K3500,6)="MV15AX",LEFT(K3500,4)="CTAX",LEFT(K3500,2)="W|"),2*N3500*O3500,0)</f>
        <v/>
      </c>
      <c r="Z3500" s="12" t="inlineStr"/>
      <c r="AA3500" s="12">
        <f>N3500*O3500</f>
        <v/>
      </c>
    </row>
    <row r="3501">
      <c r="A3501" s="12" t="inlineStr">
        <is>
          <t>G-I-0227</t>
        </is>
      </c>
      <c r="B3501" s="12" t="inlineStr">
        <is>
          <t>G</t>
        </is>
      </c>
      <c r="C3501" s="12" t="inlineStr">
        <is>
          <t>Carbon capture</t>
        </is>
      </c>
      <c r="D3501" s="12" t="inlineStr">
        <is>
          <t>RTD to JB JB-Rich/lean pumps, c-RTD01: 10 x 1 tri (field cables)</t>
        </is>
      </c>
      <c r="E3501" s="12" t="inlineStr"/>
      <c r="F3501" s="12" t="inlineStr">
        <is>
          <t>Rich/lean pumps, cross exchanger, lean cooler B</t>
        </is>
      </c>
      <c r="G3501" s="12" t="inlineStr">
        <is>
          <t>JB-Rich/lean pumps, c-RTD01</t>
        </is>
      </c>
      <c r="H3501" s="12" t="inlineStr">
        <is>
          <t>Rich/lean pumps, cross exchanger, lean cooler B</t>
        </is>
      </c>
      <c r="I3501" s="12" t="inlineStr">
        <is>
          <t>Instrumentation</t>
        </is>
      </c>
      <c r="J3501" s="12" t="inlineStr">
        <is>
          <t>RTD cable, #18 shielded triads, PLTC</t>
        </is>
      </c>
      <c r="K3501" s="12" t="inlineStr">
        <is>
          <t>RTD|1 tri|18</t>
        </is>
      </c>
      <c r="L3501" s="12" t="inlineStr">
        <is>
          <t>1 tri</t>
        </is>
      </c>
      <c r="M3501" s="12" t="inlineStr">
        <is>
          <t>18</t>
        </is>
      </c>
      <c r="N3501" s="12" t="n">
        <v>10</v>
      </c>
      <c r="O3501" s="12" t="n">
        <v>1</v>
      </c>
      <c r="P3501" s="12" t="n"/>
      <c r="Q3501" s="12" t="n"/>
      <c r="R3501" s="12" t="n"/>
      <c r="S3501" s="12" t="inlineStr">
        <is>
          <t>Tray / conduit</t>
        </is>
      </c>
      <c r="T3501" s="15" t="n">
        <v>84</v>
      </c>
      <c r="U3501" s="15" t="n">
        <v>10</v>
      </c>
      <c r="V3501" s="15">
        <f>ROUNDUP((T3501+U3501+2*'Read Me'!$B$13)*(1+'Read Me'!$B$12),-1)</f>
        <v/>
      </c>
      <c r="W3501" s="15">
        <f>V3501*N3501*O3501</f>
        <v/>
      </c>
      <c r="X3501" s="12">
        <f>IF(LEFT(I3501,2)="MV",2*N3501*IF(L3501="1/C",O3501,1),0)</f>
        <v/>
      </c>
      <c r="Y3501" s="12">
        <f>IF(OR(LEFT(K3501,4)="LVAX",LEFT(K3501,6)="MV15AX",LEFT(K3501,4)="CTAX",LEFT(K3501,2)="W|"),2*N3501*O3501,0)</f>
        <v/>
      </c>
      <c r="Z3501" s="12" t="inlineStr">
        <is>
          <t>device-to-JB field wiring, one cable per device</t>
        </is>
      </c>
      <c r="AA3501" s="12">
        <f>N3501*O3501</f>
        <v/>
      </c>
    </row>
    <row r="3502">
      <c r="A3502" s="12" t="inlineStr">
        <is>
          <t>G-I-0228</t>
        </is>
      </c>
      <c r="B3502" s="12" t="inlineStr">
        <is>
          <t>G</t>
        </is>
      </c>
      <c r="C3502" s="12" t="inlineStr">
        <is>
          <t>Carbon capture</t>
        </is>
      </c>
      <c r="D3502" s="12" t="inlineStr">
        <is>
          <t>Home run JB-Rich/lean pumps, c-RTD01 to the control / marshalling room</t>
        </is>
      </c>
      <c r="E3502" s="12" t="inlineStr"/>
      <c r="F3502" s="12" t="inlineStr">
        <is>
          <t>CCS F&amp;G / control</t>
        </is>
      </c>
      <c r="G3502" s="12" t="inlineStr">
        <is>
          <t>JB-Rich/lean pumps, c-RTD01</t>
        </is>
      </c>
      <c r="H3502" s="12" t="inlineStr">
        <is>
          <t>Rich/lean pumps, cross exchanger, lean cooler B</t>
        </is>
      </c>
      <c r="I3502" s="12" t="inlineStr">
        <is>
          <t>Instrumentation</t>
        </is>
      </c>
      <c r="J3502" s="12" t="inlineStr">
        <is>
          <t>RTD cable, #18 shielded triads, PLTC</t>
        </is>
      </c>
      <c r="K3502" s="12" t="inlineStr">
        <is>
          <t>RTD|12 tri|18</t>
        </is>
      </c>
      <c r="L3502" s="12" t="inlineStr">
        <is>
          <t>12 tri</t>
        </is>
      </c>
      <c r="M3502" s="12" t="inlineStr">
        <is>
          <t>18</t>
        </is>
      </c>
      <c r="N3502" s="12" t="n">
        <v>1</v>
      </c>
      <c r="O3502" s="12" t="n">
        <v>1</v>
      </c>
      <c r="P3502" s="12" t="n"/>
      <c r="Q3502" s="12" t="n"/>
      <c r="R3502" s="12" t="n"/>
      <c r="S3502" s="12" t="inlineStr">
        <is>
          <t>Duct bank</t>
        </is>
      </c>
      <c r="T3502" s="15" t="n">
        <v>674</v>
      </c>
      <c r="U3502" s="15" t="n">
        <v>181</v>
      </c>
      <c r="V3502" s="15">
        <f>ROUNDUP((T3502+U3502+2*'Read Me'!$B$13)*(1+'Read Me'!$B$12),-1)</f>
        <v/>
      </c>
      <c r="W3502" s="15">
        <f>V3502*N3502*O3502</f>
        <v/>
      </c>
      <c r="X3502" s="12">
        <f>IF(LEFT(I3502,2)="MV",2*N3502*IF(L3502="1/C",O3502,1),0)</f>
        <v/>
      </c>
      <c r="Y3502" s="12">
        <f>IF(OR(LEFT(K3502,4)="LVAX",LEFT(K3502,6)="MV15AX",LEFT(K3502,4)="CTAX",LEFT(K3502,2)="W|"),2*N3502*O3502,0)</f>
        <v/>
      </c>
      <c r="Z3502" s="12" t="inlineStr"/>
      <c r="AA3502" s="12">
        <f>N3502*O3502</f>
        <v/>
      </c>
    </row>
    <row r="3503">
      <c r="A3503" s="12" t="inlineStr">
        <is>
          <t>G-I-0229</t>
        </is>
      </c>
      <c r="B3503" s="12" t="inlineStr">
        <is>
          <t>G</t>
        </is>
      </c>
      <c r="C3503" s="12" t="inlineStr">
        <is>
          <t>Carbon capture</t>
        </is>
      </c>
      <c r="D3503" s="12" t="inlineStr">
        <is>
          <t>RTD to JB JB-Rich/lean pumps, c-RTD02: 2 x 1 tri (field cables)</t>
        </is>
      </c>
      <c r="E3503" s="12" t="inlineStr"/>
      <c r="F3503" s="12" t="inlineStr">
        <is>
          <t>Rich/lean pumps, cross exchanger, lean cooler B</t>
        </is>
      </c>
      <c r="G3503" s="12" t="inlineStr">
        <is>
          <t>JB-Rich/lean pumps, c-RTD02</t>
        </is>
      </c>
      <c r="H3503" s="12" t="inlineStr">
        <is>
          <t>Rich/lean pumps, cross exchanger, lean cooler B</t>
        </is>
      </c>
      <c r="I3503" s="12" t="inlineStr">
        <is>
          <t>Instrumentation</t>
        </is>
      </c>
      <c r="J3503" s="12" t="inlineStr">
        <is>
          <t>RTD cable, #18 shielded triads, PLTC</t>
        </is>
      </c>
      <c r="K3503" s="12" t="inlineStr">
        <is>
          <t>RTD|1 tri|18</t>
        </is>
      </c>
      <c r="L3503" s="12" t="inlineStr">
        <is>
          <t>1 tri</t>
        </is>
      </c>
      <c r="M3503" s="12" t="inlineStr">
        <is>
          <t>18</t>
        </is>
      </c>
      <c r="N3503" s="12" t="n">
        <v>2</v>
      </c>
      <c r="O3503" s="12" t="n">
        <v>1</v>
      </c>
      <c r="P3503" s="12" t="n"/>
      <c r="Q3503" s="12" t="n"/>
      <c r="R3503" s="12" t="n"/>
      <c r="S3503" s="12" t="inlineStr">
        <is>
          <t>Tray / conduit</t>
        </is>
      </c>
      <c r="T3503" s="15" t="n">
        <v>84</v>
      </c>
      <c r="U3503" s="15" t="n">
        <v>10</v>
      </c>
      <c r="V3503" s="15">
        <f>ROUNDUP((T3503+U3503+2*'Read Me'!$B$13)*(1+'Read Me'!$B$12),-1)</f>
        <v/>
      </c>
      <c r="W3503" s="15">
        <f>V3503*N3503*O3503</f>
        <v/>
      </c>
      <c r="X3503" s="12">
        <f>IF(LEFT(I3503,2)="MV",2*N3503*IF(L3503="1/C",O3503,1),0)</f>
        <v/>
      </c>
      <c r="Y3503" s="12">
        <f>IF(OR(LEFT(K3503,4)="LVAX",LEFT(K3503,6)="MV15AX",LEFT(K3503,4)="CTAX",LEFT(K3503,2)="W|"),2*N3503*O3503,0)</f>
        <v/>
      </c>
      <c r="Z3503" s="12" t="inlineStr">
        <is>
          <t>device-to-JB field wiring, one cable per device</t>
        </is>
      </c>
      <c r="AA3503" s="12">
        <f>N3503*O3503</f>
        <v/>
      </c>
    </row>
    <row r="3504">
      <c r="A3504" s="12" t="inlineStr">
        <is>
          <t>G-I-0230</t>
        </is>
      </c>
      <c r="B3504" s="12" t="inlineStr">
        <is>
          <t>G</t>
        </is>
      </c>
      <c r="C3504" s="12" t="inlineStr">
        <is>
          <t>Carbon capture</t>
        </is>
      </c>
      <c r="D3504" s="12" t="inlineStr">
        <is>
          <t>Home run JB-Rich/lean pumps, c-RTD02 to the control / marshalling room</t>
        </is>
      </c>
      <c r="E3504" s="12" t="inlineStr"/>
      <c r="F3504" s="12" t="inlineStr">
        <is>
          <t>CCS F&amp;G / control</t>
        </is>
      </c>
      <c r="G3504" s="12" t="inlineStr">
        <is>
          <t>JB-Rich/lean pumps, c-RTD02</t>
        </is>
      </c>
      <c r="H3504" s="12" t="inlineStr">
        <is>
          <t>Rich/lean pumps, cross exchanger, lean cooler B</t>
        </is>
      </c>
      <c r="I3504" s="12" t="inlineStr">
        <is>
          <t>Instrumentation</t>
        </is>
      </c>
      <c r="J3504" s="12" t="inlineStr">
        <is>
          <t>RTD cable, #18 shielded triads, PLTC</t>
        </is>
      </c>
      <c r="K3504" s="12" t="inlineStr">
        <is>
          <t>RTD|12 tri|18</t>
        </is>
      </c>
      <c r="L3504" s="12" t="inlineStr">
        <is>
          <t>12 tri</t>
        </is>
      </c>
      <c r="M3504" s="12" t="inlineStr">
        <is>
          <t>18</t>
        </is>
      </c>
      <c r="N3504" s="12" t="n">
        <v>1</v>
      </c>
      <c r="O3504" s="12" t="n">
        <v>1</v>
      </c>
      <c r="P3504" s="12" t="n"/>
      <c r="Q3504" s="12" t="n"/>
      <c r="R3504" s="12" t="n"/>
      <c r="S3504" s="12" t="inlineStr">
        <is>
          <t>Duct bank</t>
        </is>
      </c>
      <c r="T3504" s="15" t="n">
        <v>674</v>
      </c>
      <c r="U3504" s="15" t="n">
        <v>181</v>
      </c>
      <c r="V3504" s="15">
        <f>ROUNDUP((T3504+U3504+2*'Read Me'!$B$13)*(1+'Read Me'!$B$12),-1)</f>
        <v/>
      </c>
      <c r="W3504" s="15">
        <f>V3504*N3504*O3504</f>
        <v/>
      </c>
      <c r="X3504" s="12">
        <f>IF(LEFT(I3504,2)="MV",2*N3504*IF(L3504="1/C",O3504,1),0)</f>
        <v/>
      </c>
      <c r="Y3504" s="12">
        <f>IF(OR(LEFT(K3504,4)="LVAX",LEFT(K3504,6)="MV15AX",LEFT(K3504,4)="CTAX",LEFT(K3504,2)="W|"),2*N3504*O3504,0)</f>
        <v/>
      </c>
      <c r="Z3504" s="12" t="inlineStr"/>
      <c r="AA3504" s="12">
        <f>N3504*O3504</f>
        <v/>
      </c>
    </row>
    <row r="3505">
      <c r="A3505" s="12" t="inlineStr">
        <is>
          <t>G-I-0231</t>
        </is>
      </c>
      <c r="B3505" s="12" t="inlineStr">
        <is>
          <t>G</t>
        </is>
      </c>
      <c r="C3505" s="12" t="inlineStr">
        <is>
          <t>Carbon capture</t>
        </is>
      </c>
      <c r="D3505" s="12" t="inlineStr">
        <is>
          <t>Analog instrument to JB JB-Rich/lean pumps, c-AI01: 20 x 1 pr (field cables)</t>
        </is>
      </c>
      <c r="E3505" s="12" t="inlineStr"/>
      <c r="F3505" s="12" t="inlineStr">
        <is>
          <t>Rich/lean pumps, cross exchanger, lean cooler C</t>
        </is>
      </c>
      <c r="G3505" s="12" t="inlineStr">
        <is>
          <t>JB-Rich/lean pumps, c-AI01</t>
        </is>
      </c>
      <c r="H3505" s="12" t="inlineStr">
        <is>
          <t>Rich/lean pumps, cross exchanger, lean cooler C</t>
        </is>
      </c>
      <c r="I3505" s="12" t="inlineStr">
        <is>
          <t>Instrumentation</t>
        </is>
      </c>
      <c r="J3505" s="12" t="inlineStr">
        <is>
          <t>Instrumentation PLTC / TC-ER 300 V, #18 twisted shielded pairs, overall shield</t>
        </is>
      </c>
      <c r="K3505" s="12" t="inlineStr">
        <is>
          <t>PLTC|1 pr|16</t>
        </is>
      </c>
      <c r="L3505" s="12" t="inlineStr">
        <is>
          <t>1 pr</t>
        </is>
      </c>
      <c r="M3505" s="12" t="inlineStr">
        <is>
          <t>16</t>
        </is>
      </c>
      <c r="N3505" s="12" t="n">
        <v>20</v>
      </c>
      <c r="O3505" s="12" t="n">
        <v>1</v>
      </c>
      <c r="P3505" s="12" t="n"/>
      <c r="Q3505" s="12" t="n"/>
      <c r="R3505" s="12" t="n"/>
      <c r="S3505" s="12" t="inlineStr">
        <is>
          <t>Tray / conduit</t>
        </is>
      </c>
      <c r="T3505" s="15" t="n">
        <v>84</v>
      </c>
      <c r="U3505" s="15" t="n">
        <v>10</v>
      </c>
      <c r="V3505" s="15">
        <f>ROUNDUP((T3505+U3505+2*'Read Me'!$B$13)*(1+'Read Me'!$B$12),-1)</f>
        <v/>
      </c>
      <c r="W3505" s="15">
        <f>V3505*N3505*O3505</f>
        <v/>
      </c>
      <c r="X3505" s="12">
        <f>IF(LEFT(I3505,2)="MV",2*N3505*IF(L3505="1/C",O3505,1),0)</f>
        <v/>
      </c>
      <c r="Y3505" s="12">
        <f>IF(OR(LEFT(K3505,4)="LVAX",LEFT(K3505,6)="MV15AX",LEFT(K3505,4)="CTAX",LEFT(K3505,2)="W|"),2*N3505*O3505,0)</f>
        <v/>
      </c>
      <c r="Z3505" s="12" t="inlineStr">
        <is>
          <t>device-to-JB field wiring, one cable per device</t>
        </is>
      </c>
      <c r="AA3505" s="12">
        <f>N3505*O3505</f>
        <v/>
      </c>
    </row>
    <row r="3506">
      <c r="A3506" s="12" t="inlineStr">
        <is>
          <t>G-I-0232</t>
        </is>
      </c>
      <c r="B3506" s="12" t="inlineStr">
        <is>
          <t>G</t>
        </is>
      </c>
      <c r="C3506" s="12" t="inlineStr">
        <is>
          <t>Carbon capture</t>
        </is>
      </c>
      <c r="D3506" s="12" t="inlineStr">
        <is>
          <t>Home run JB-Rich/lean pumps, c-AI01 to the control / marshalling room</t>
        </is>
      </c>
      <c r="E3506" s="12" t="inlineStr"/>
      <c r="F3506" s="12" t="inlineStr">
        <is>
          <t>CCS F&amp;G / control</t>
        </is>
      </c>
      <c r="G3506" s="12" t="inlineStr">
        <is>
          <t>JB-Rich/lean pumps, c-AI01</t>
        </is>
      </c>
      <c r="H3506" s="12" t="inlineStr">
        <is>
          <t>Rich/lean pumps, cross exchanger, lean cooler C</t>
        </is>
      </c>
      <c r="I3506" s="12" t="inlineStr">
        <is>
          <t>Instrumentation</t>
        </is>
      </c>
      <c r="J3506" s="12" t="inlineStr">
        <is>
          <t>Instrumentation PLTC / TC-ER 300 V, #18 twisted shielded pairs, overall shield</t>
        </is>
      </c>
      <c r="K3506" s="12" t="inlineStr">
        <is>
          <t>PLTC|24 pr|18</t>
        </is>
      </c>
      <c r="L3506" s="12" t="inlineStr">
        <is>
          <t>24 pr</t>
        </is>
      </c>
      <c r="M3506" s="12" t="inlineStr">
        <is>
          <t>18</t>
        </is>
      </c>
      <c r="N3506" s="12" t="n">
        <v>1</v>
      </c>
      <c r="O3506" s="12" t="n">
        <v>1</v>
      </c>
      <c r="P3506" s="12" t="n"/>
      <c r="Q3506" s="12" t="n"/>
      <c r="R3506" s="12" t="n"/>
      <c r="S3506" s="12" t="inlineStr">
        <is>
          <t>Duct bank</t>
        </is>
      </c>
      <c r="T3506" s="15" t="n">
        <v>299</v>
      </c>
      <c r="U3506" s="15" t="n">
        <v>138</v>
      </c>
      <c r="V3506" s="15">
        <f>ROUNDUP((T3506+U3506+2*'Read Me'!$B$13)*(1+'Read Me'!$B$12),-1)</f>
        <v/>
      </c>
      <c r="W3506" s="15">
        <f>V3506*N3506*O3506</f>
        <v/>
      </c>
      <c r="X3506" s="12">
        <f>IF(LEFT(I3506,2)="MV",2*N3506*IF(L3506="1/C",O3506,1),0)</f>
        <v/>
      </c>
      <c r="Y3506" s="12">
        <f>IF(OR(LEFT(K3506,4)="LVAX",LEFT(K3506,6)="MV15AX",LEFT(K3506,4)="CTAX",LEFT(K3506,2)="W|"),2*N3506*O3506,0)</f>
        <v/>
      </c>
      <c r="Z3506" s="12" t="inlineStr"/>
      <c r="AA3506" s="12">
        <f>N3506*O3506</f>
        <v/>
      </c>
    </row>
    <row r="3507">
      <c r="A3507" s="12" t="inlineStr">
        <is>
          <t>G-I-0233</t>
        </is>
      </c>
      <c r="B3507" s="12" t="inlineStr">
        <is>
          <t>G</t>
        </is>
      </c>
      <c r="C3507" s="12" t="inlineStr">
        <is>
          <t>Carbon capture</t>
        </is>
      </c>
      <c r="D3507" s="12" t="inlineStr">
        <is>
          <t>Discrete device to JB JB-Rich/lean pumps, c-DI01: 20 x 1 pr (field cables)</t>
        </is>
      </c>
      <c r="E3507" s="12" t="inlineStr"/>
      <c r="F3507" s="12" t="inlineStr">
        <is>
          <t>Rich/lean pumps, cross exchanger, lean cooler C</t>
        </is>
      </c>
      <c r="G3507" s="12" t="inlineStr">
        <is>
          <t>JB-Rich/lean pumps, c-DI01</t>
        </is>
      </c>
      <c r="H3507" s="12" t="inlineStr">
        <is>
          <t>Rich/lean pumps, cross exchanger, lean cooler C</t>
        </is>
      </c>
      <c r="I3507" s="12" t="inlineStr">
        <is>
          <t>Instrumentation</t>
        </is>
      </c>
      <c r="J3507" s="12" t="inlineStr">
        <is>
          <t>Instrumentation PLTC / TC-ER 300 V, #18 twisted shielded pairs, overall shield</t>
        </is>
      </c>
      <c r="K3507" s="12" t="inlineStr">
        <is>
          <t>PLTC|1 pr|16</t>
        </is>
      </c>
      <c r="L3507" s="12" t="inlineStr">
        <is>
          <t>1 pr</t>
        </is>
      </c>
      <c r="M3507" s="12" t="inlineStr">
        <is>
          <t>16</t>
        </is>
      </c>
      <c r="N3507" s="12" t="n">
        <v>20</v>
      </c>
      <c r="O3507" s="12" t="n">
        <v>1</v>
      </c>
      <c r="P3507" s="12" t="n"/>
      <c r="Q3507" s="12" t="n"/>
      <c r="R3507" s="12" t="n"/>
      <c r="S3507" s="12" t="inlineStr">
        <is>
          <t>Tray / conduit</t>
        </is>
      </c>
      <c r="T3507" s="15" t="n">
        <v>84</v>
      </c>
      <c r="U3507" s="15" t="n">
        <v>10</v>
      </c>
      <c r="V3507" s="15">
        <f>ROUNDUP((T3507+U3507+2*'Read Me'!$B$13)*(1+'Read Me'!$B$12),-1)</f>
        <v/>
      </c>
      <c r="W3507" s="15">
        <f>V3507*N3507*O3507</f>
        <v/>
      </c>
      <c r="X3507" s="12">
        <f>IF(LEFT(I3507,2)="MV",2*N3507*IF(L3507="1/C",O3507,1),0)</f>
        <v/>
      </c>
      <c r="Y3507" s="12">
        <f>IF(OR(LEFT(K3507,4)="LVAX",LEFT(K3507,6)="MV15AX",LEFT(K3507,4)="CTAX",LEFT(K3507,2)="W|"),2*N3507*O3507,0)</f>
        <v/>
      </c>
      <c r="Z3507" s="12" t="inlineStr">
        <is>
          <t>device-to-JB field wiring, one cable per device</t>
        </is>
      </c>
      <c r="AA3507" s="12">
        <f>N3507*O3507</f>
        <v/>
      </c>
    </row>
    <row r="3508">
      <c r="A3508" s="12" t="inlineStr">
        <is>
          <t>G-I-0234</t>
        </is>
      </c>
      <c r="B3508" s="12" t="inlineStr">
        <is>
          <t>G</t>
        </is>
      </c>
      <c r="C3508" s="12" t="inlineStr">
        <is>
          <t>Carbon capture</t>
        </is>
      </c>
      <c r="D3508" s="12" t="inlineStr">
        <is>
          <t>Home run JB-Rich/lean pumps, c-DI01 to the control / marshalling room</t>
        </is>
      </c>
      <c r="E3508" s="12" t="inlineStr"/>
      <c r="F3508" s="12" t="inlineStr">
        <is>
          <t>CCS F&amp;G / control</t>
        </is>
      </c>
      <c r="G3508" s="12" t="inlineStr">
        <is>
          <t>JB-Rich/lean pumps, c-DI01</t>
        </is>
      </c>
      <c r="H3508" s="12" t="inlineStr">
        <is>
          <t>Rich/lean pumps, cross exchanger, lean cooler C</t>
        </is>
      </c>
      <c r="I3508" s="12" t="inlineStr">
        <is>
          <t>Instrumentation</t>
        </is>
      </c>
      <c r="J3508" s="12" t="inlineStr">
        <is>
          <t>Instrumentation PLTC / TC-ER 300 V, #18 twisted shielded pairs, overall shield</t>
        </is>
      </c>
      <c r="K3508" s="12" t="inlineStr">
        <is>
          <t>PLTC|24 pr|18</t>
        </is>
      </c>
      <c r="L3508" s="12" t="inlineStr">
        <is>
          <t>24 pr</t>
        </is>
      </c>
      <c r="M3508" s="12" t="inlineStr">
        <is>
          <t>18</t>
        </is>
      </c>
      <c r="N3508" s="12" t="n">
        <v>1</v>
      </c>
      <c r="O3508" s="12" t="n">
        <v>1</v>
      </c>
      <c r="P3508" s="12" t="n"/>
      <c r="Q3508" s="12" t="n"/>
      <c r="R3508" s="12" t="n"/>
      <c r="S3508" s="12" t="inlineStr">
        <is>
          <t>Duct bank</t>
        </is>
      </c>
      <c r="T3508" s="15" t="n">
        <v>299</v>
      </c>
      <c r="U3508" s="15" t="n">
        <v>138</v>
      </c>
      <c r="V3508" s="15">
        <f>ROUNDUP((T3508+U3508+2*'Read Me'!$B$13)*(1+'Read Me'!$B$12),-1)</f>
        <v/>
      </c>
      <c r="W3508" s="15">
        <f>V3508*N3508*O3508</f>
        <v/>
      </c>
      <c r="X3508" s="12">
        <f>IF(LEFT(I3508,2)="MV",2*N3508*IF(L3508="1/C",O3508,1),0)</f>
        <v/>
      </c>
      <c r="Y3508" s="12">
        <f>IF(OR(LEFT(K3508,4)="LVAX",LEFT(K3508,6)="MV15AX",LEFT(K3508,4)="CTAX",LEFT(K3508,2)="W|"),2*N3508*O3508,0)</f>
        <v/>
      </c>
      <c r="Z3508" s="12" t="inlineStr"/>
      <c r="AA3508" s="12">
        <f>N3508*O3508</f>
        <v/>
      </c>
    </row>
    <row r="3509">
      <c r="A3509" s="12" t="inlineStr">
        <is>
          <t>G-I-0235</t>
        </is>
      </c>
      <c r="B3509" s="12" t="inlineStr">
        <is>
          <t>G</t>
        </is>
      </c>
      <c r="C3509" s="12" t="inlineStr">
        <is>
          <t>Carbon capture</t>
        </is>
      </c>
      <c r="D3509" s="12" t="inlineStr">
        <is>
          <t>RTD to JB JB-Rich/lean pumps, c-RTD01: 10 x 1 tri (field cables)</t>
        </is>
      </c>
      <c r="E3509" s="12" t="inlineStr"/>
      <c r="F3509" s="12" t="inlineStr">
        <is>
          <t>Rich/lean pumps, cross exchanger, lean cooler C</t>
        </is>
      </c>
      <c r="G3509" s="12" t="inlineStr">
        <is>
          <t>JB-Rich/lean pumps, c-RTD01</t>
        </is>
      </c>
      <c r="H3509" s="12" t="inlineStr">
        <is>
          <t>Rich/lean pumps, cross exchanger, lean cooler C</t>
        </is>
      </c>
      <c r="I3509" s="12" t="inlineStr">
        <is>
          <t>Instrumentation</t>
        </is>
      </c>
      <c r="J3509" s="12" t="inlineStr">
        <is>
          <t>RTD cable, #18 shielded triads, PLTC</t>
        </is>
      </c>
      <c r="K3509" s="12" t="inlineStr">
        <is>
          <t>RTD|1 tri|18</t>
        </is>
      </c>
      <c r="L3509" s="12" t="inlineStr">
        <is>
          <t>1 tri</t>
        </is>
      </c>
      <c r="M3509" s="12" t="inlineStr">
        <is>
          <t>18</t>
        </is>
      </c>
      <c r="N3509" s="12" t="n">
        <v>10</v>
      </c>
      <c r="O3509" s="12" t="n">
        <v>1</v>
      </c>
      <c r="P3509" s="12" t="n"/>
      <c r="Q3509" s="12" t="n"/>
      <c r="R3509" s="12" t="n"/>
      <c r="S3509" s="12" t="inlineStr">
        <is>
          <t>Tray / conduit</t>
        </is>
      </c>
      <c r="T3509" s="15" t="n">
        <v>84</v>
      </c>
      <c r="U3509" s="15" t="n">
        <v>10</v>
      </c>
      <c r="V3509" s="15">
        <f>ROUNDUP((T3509+U3509+2*'Read Me'!$B$13)*(1+'Read Me'!$B$12),-1)</f>
        <v/>
      </c>
      <c r="W3509" s="15">
        <f>V3509*N3509*O3509</f>
        <v/>
      </c>
      <c r="X3509" s="12">
        <f>IF(LEFT(I3509,2)="MV",2*N3509*IF(L3509="1/C",O3509,1),0)</f>
        <v/>
      </c>
      <c r="Y3509" s="12">
        <f>IF(OR(LEFT(K3509,4)="LVAX",LEFT(K3509,6)="MV15AX",LEFT(K3509,4)="CTAX",LEFT(K3509,2)="W|"),2*N3509*O3509,0)</f>
        <v/>
      </c>
      <c r="Z3509" s="12" t="inlineStr">
        <is>
          <t>device-to-JB field wiring, one cable per device</t>
        </is>
      </c>
      <c r="AA3509" s="12">
        <f>N3509*O3509</f>
        <v/>
      </c>
    </row>
    <row r="3510">
      <c r="A3510" s="12" t="inlineStr">
        <is>
          <t>G-I-0236</t>
        </is>
      </c>
      <c r="B3510" s="12" t="inlineStr">
        <is>
          <t>G</t>
        </is>
      </c>
      <c r="C3510" s="12" t="inlineStr">
        <is>
          <t>Carbon capture</t>
        </is>
      </c>
      <c r="D3510" s="12" t="inlineStr">
        <is>
          <t>Home run JB-Rich/lean pumps, c-RTD01 to the control / marshalling room</t>
        </is>
      </c>
      <c r="E3510" s="12" t="inlineStr"/>
      <c r="F3510" s="12" t="inlineStr">
        <is>
          <t>CCS F&amp;G / control</t>
        </is>
      </c>
      <c r="G3510" s="12" t="inlineStr">
        <is>
          <t>JB-Rich/lean pumps, c-RTD01</t>
        </is>
      </c>
      <c r="H3510" s="12" t="inlineStr">
        <is>
          <t>Rich/lean pumps, cross exchanger, lean cooler C</t>
        </is>
      </c>
      <c r="I3510" s="12" t="inlineStr">
        <is>
          <t>Instrumentation</t>
        </is>
      </c>
      <c r="J3510" s="12" t="inlineStr">
        <is>
          <t>RTD cable, #18 shielded triads, PLTC</t>
        </is>
      </c>
      <c r="K3510" s="12" t="inlineStr">
        <is>
          <t>RTD|12 tri|18</t>
        </is>
      </c>
      <c r="L3510" s="12" t="inlineStr">
        <is>
          <t>12 tri</t>
        </is>
      </c>
      <c r="M3510" s="12" t="inlineStr">
        <is>
          <t>18</t>
        </is>
      </c>
      <c r="N3510" s="12" t="n">
        <v>1</v>
      </c>
      <c r="O3510" s="12" t="n">
        <v>1</v>
      </c>
      <c r="P3510" s="12" t="n"/>
      <c r="Q3510" s="12" t="n"/>
      <c r="R3510" s="12" t="n"/>
      <c r="S3510" s="12" t="inlineStr">
        <is>
          <t>Duct bank</t>
        </is>
      </c>
      <c r="T3510" s="15" t="n">
        <v>299</v>
      </c>
      <c r="U3510" s="15" t="n">
        <v>138</v>
      </c>
      <c r="V3510" s="15">
        <f>ROUNDUP((T3510+U3510+2*'Read Me'!$B$13)*(1+'Read Me'!$B$12),-1)</f>
        <v/>
      </c>
      <c r="W3510" s="15">
        <f>V3510*N3510*O3510</f>
        <v/>
      </c>
      <c r="X3510" s="12">
        <f>IF(LEFT(I3510,2)="MV",2*N3510*IF(L3510="1/C",O3510,1),0)</f>
        <v/>
      </c>
      <c r="Y3510" s="12">
        <f>IF(OR(LEFT(K3510,4)="LVAX",LEFT(K3510,6)="MV15AX",LEFT(K3510,4)="CTAX",LEFT(K3510,2)="W|"),2*N3510*O3510,0)</f>
        <v/>
      </c>
      <c r="Z3510" s="12" t="inlineStr"/>
      <c r="AA3510" s="12">
        <f>N3510*O3510</f>
        <v/>
      </c>
    </row>
    <row r="3511">
      <c r="A3511" s="12" t="inlineStr">
        <is>
          <t>G-I-0237</t>
        </is>
      </c>
      <c r="B3511" s="12" t="inlineStr">
        <is>
          <t>G</t>
        </is>
      </c>
      <c r="C3511" s="12" t="inlineStr">
        <is>
          <t>Carbon capture</t>
        </is>
      </c>
      <c r="D3511" s="12" t="inlineStr">
        <is>
          <t>RTD to JB JB-Rich/lean pumps, c-RTD02: 2 x 1 tri (field cables)</t>
        </is>
      </c>
      <c r="E3511" s="12" t="inlineStr"/>
      <c r="F3511" s="12" t="inlineStr">
        <is>
          <t>Rich/lean pumps, cross exchanger, lean cooler C</t>
        </is>
      </c>
      <c r="G3511" s="12" t="inlineStr">
        <is>
          <t>JB-Rich/lean pumps, c-RTD02</t>
        </is>
      </c>
      <c r="H3511" s="12" t="inlineStr">
        <is>
          <t>Rich/lean pumps, cross exchanger, lean cooler C</t>
        </is>
      </c>
      <c r="I3511" s="12" t="inlineStr">
        <is>
          <t>Instrumentation</t>
        </is>
      </c>
      <c r="J3511" s="12" t="inlineStr">
        <is>
          <t>RTD cable, #18 shielded triads, PLTC</t>
        </is>
      </c>
      <c r="K3511" s="12" t="inlineStr">
        <is>
          <t>RTD|1 tri|18</t>
        </is>
      </c>
      <c r="L3511" s="12" t="inlineStr">
        <is>
          <t>1 tri</t>
        </is>
      </c>
      <c r="M3511" s="12" t="inlineStr">
        <is>
          <t>18</t>
        </is>
      </c>
      <c r="N3511" s="12" t="n">
        <v>2</v>
      </c>
      <c r="O3511" s="12" t="n">
        <v>1</v>
      </c>
      <c r="P3511" s="12" t="n"/>
      <c r="Q3511" s="12" t="n"/>
      <c r="R3511" s="12" t="n"/>
      <c r="S3511" s="12" t="inlineStr">
        <is>
          <t>Tray / conduit</t>
        </is>
      </c>
      <c r="T3511" s="15" t="n">
        <v>84</v>
      </c>
      <c r="U3511" s="15" t="n">
        <v>10</v>
      </c>
      <c r="V3511" s="15">
        <f>ROUNDUP((T3511+U3511+2*'Read Me'!$B$13)*(1+'Read Me'!$B$12),-1)</f>
        <v/>
      </c>
      <c r="W3511" s="15">
        <f>V3511*N3511*O3511</f>
        <v/>
      </c>
      <c r="X3511" s="12">
        <f>IF(LEFT(I3511,2)="MV",2*N3511*IF(L3511="1/C",O3511,1),0)</f>
        <v/>
      </c>
      <c r="Y3511" s="12">
        <f>IF(OR(LEFT(K3511,4)="LVAX",LEFT(K3511,6)="MV15AX",LEFT(K3511,4)="CTAX",LEFT(K3511,2)="W|"),2*N3511*O3511,0)</f>
        <v/>
      </c>
      <c r="Z3511" s="12" t="inlineStr">
        <is>
          <t>device-to-JB field wiring, one cable per device</t>
        </is>
      </c>
      <c r="AA3511" s="12">
        <f>N3511*O3511</f>
        <v/>
      </c>
    </row>
    <row r="3512">
      <c r="A3512" s="12" t="inlineStr">
        <is>
          <t>G-I-0238</t>
        </is>
      </c>
      <c r="B3512" s="12" t="inlineStr">
        <is>
          <t>G</t>
        </is>
      </c>
      <c r="C3512" s="12" t="inlineStr">
        <is>
          <t>Carbon capture</t>
        </is>
      </c>
      <c r="D3512" s="12" t="inlineStr">
        <is>
          <t>Home run JB-Rich/lean pumps, c-RTD02 to the control / marshalling room</t>
        </is>
      </c>
      <c r="E3512" s="12" t="inlineStr"/>
      <c r="F3512" s="12" t="inlineStr">
        <is>
          <t>CCS F&amp;G / control</t>
        </is>
      </c>
      <c r="G3512" s="12" t="inlineStr">
        <is>
          <t>JB-Rich/lean pumps, c-RTD02</t>
        </is>
      </c>
      <c r="H3512" s="12" t="inlineStr">
        <is>
          <t>Rich/lean pumps, cross exchanger, lean cooler C</t>
        </is>
      </c>
      <c r="I3512" s="12" t="inlineStr">
        <is>
          <t>Instrumentation</t>
        </is>
      </c>
      <c r="J3512" s="12" t="inlineStr">
        <is>
          <t>RTD cable, #18 shielded triads, PLTC</t>
        </is>
      </c>
      <c r="K3512" s="12" t="inlineStr">
        <is>
          <t>RTD|12 tri|18</t>
        </is>
      </c>
      <c r="L3512" s="12" t="inlineStr">
        <is>
          <t>12 tri</t>
        </is>
      </c>
      <c r="M3512" s="12" t="inlineStr">
        <is>
          <t>18</t>
        </is>
      </c>
      <c r="N3512" s="12" t="n">
        <v>1</v>
      </c>
      <c r="O3512" s="12" t="n">
        <v>1</v>
      </c>
      <c r="P3512" s="12" t="n"/>
      <c r="Q3512" s="12" t="n"/>
      <c r="R3512" s="12" t="n"/>
      <c r="S3512" s="12" t="inlineStr">
        <is>
          <t>Duct bank</t>
        </is>
      </c>
      <c r="T3512" s="15" t="n">
        <v>299</v>
      </c>
      <c r="U3512" s="15" t="n">
        <v>138</v>
      </c>
      <c r="V3512" s="15">
        <f>ROUNDUP((T3512+U3512+2*'Read Me'!$B$13)*(1+'Read Me'!$B$12),-1)</f>
        <v/>
      </c>
      <c r="W3512" s="15">
        <f>V3512*N3512*O3512</f>
        <v/>
      </c>
      <c r="X3512" s="12">
        <f>IF(LEFT(I3512,2)="MV",2*N3512*IF(L3512="1/C",O3512,1),0)</f>
        <v/>
      </c>
      <c r="Y3512" s="12">
        <f>IF(OR(LEFT(K3512,4)="LVAX",LEFT(K3512,6)="MV15AX",LEFT(K3512,4)="CTAX",LEFT(K3512,2)="W|"),2*N3512*O3512,0)</f>
        <v/>
      </c>
      <c r="Z3512" s="12" t="inlineStr"/>
      <c r="AA3512" s="12">
        <f>N3512*O3512</f>
        <v/>
      </c>
    </row>
    <row r="3513">
      <c r="A3513" s="12" t="inlineStr">
        <is>
          <t>G-I-0239</t>
        </is>
      </c>
      <c r="B3513" s="12" t="inlineStr">
        <is>
          <t>G</t>
        </is>
      </c>
      <c r="C3513" s="12" t="inlineStr">
        <is>
          <t>Carbon capture</t>
        </is>
      </c>
      <c r="D3513" s="12" t="inlineStr">
        <is>
          <t>Analog instrument to JB JB-STR-A-AI01: 20 x 1 pr (field cables)</t>
        </is>
      </c>
      <c r="E3513" s="12" t="inlineStr">
        <is>
          <t>STR-A</t>
        </is>
      </c>
      <c r="F3513" s="12" t="inlineStr">
        <is>
          <t>STR-A: stripper / regenerator (45 ft dia x 207 ft)</t>
        </is>
      </c>
      <c r="G3513" s="12" t="inlineStr">
        <is>
          <t>JB-STR-A-AI01</t>
        </is>
      </c>
      <c r="H3513" s="12" t="inlineStr">
        <is>
          <t>STR-A: stripper / regenerator (45 ft dia x 207 ft)</t>
        </is>
      </c>
      <c r="I3513" s="12" t="inlineStr">
        <is>
          <t>Instrumentation</t>
        </is>
      </c>
      <c r="J3513" s="12" t="inlineStr">
        <is>
          <t>Instrumentation PLTC / TC-ER 300 V, #18 twisted shielded pairs, overall shield</t>
        </is>
      </c>
      <c r="K3513" s="12" t="inlineStr">
        <is>
          <t>PLTC|1 pr|16</t>
        </is>
      </c>
      <c r="L3513" s="12" t="inlineStr">
        <is>
          <t>1 pr</t>
        </is>
      </c>
      <c r="M3513" s="12" t="inlineStr">
        <is>
          <t>16</t>
        </is>
      </c>
      <c r="N3513" s="12" t="n">
        <v>20</v>
      </c>
      <c r="O3513" s="12" t="n">
        <v>1</v>
      </c>
      <c r="P3513" s="12" t="n"/>
      <c r="Q3513" s="12" t="n"/>
      <c r="R3513" s="12" t="n"/>
      <c r="S3513" s="12" t="inlineStr">
        <is>
          <t>Tray / conduit</t>
        </is>
      </c>
      <c r="T3513" s="15" t="n">
        <v>153</v>
      </c>
      <c r="U3513" s="15" t="n">
        <v>10</v>
      </c>
      <c r="V3513" s="15">
        <f>ROUNDUP((T3513+U3513+2*'Read Me'!$B$13)*(1+'Read Me'!$B$12),-1)</f>
        <v/>
      </c>
      <c r="W3513" s="15">
        <f>V3513*N3513*O3513</f>
        <v/>
      </c>
      <c r="X3513" s="12">
        <f>IF(LEFT(I3513,2)="MV",2*N3513*IF(L3513="1/C",O3513,1),0)</f>
        <v/>
      </c>
      <c r="Y3513" s="12">
        <f>IF(OR(LEFT(K3513,4)="LVAX",LEFT(K3513,6)="MV15AX",LEFT(K3513,4)="CTAX",LEFT(K3513,2)="W|"),2*N3513*O3513,0)</f>
        <v/>
      </c>
      <c r="Z3513" s="12" t="inlineStr">
        <is>
          <t>device-to-JB field wiring, one cable per device</t>
        </is>
      </c>
      <c r="AA3513" s="12">
        <f>N3513*O3513</f>
        <v/>
      </c>
    </row>
    <row r="3514">
      <c r="A3514" s="12" t="inlineStr">
        <is>
          <t>G-I-0240</t>
        </is>
      </c>
      <c r="B3514" s="12" t="inlineStr">
        <is>
          <t>G</t>
        </is>
      </c>
      <c r="C3514" s="12" t="inlineStr">
        <is>
          <t>Carbon capture</t>
        </is>
      </c>
      <c r="D3514" s="12" t="inlineStr">
        <is>
          <t>Home run JB-STR-A-AI01 to the control / marshalling room</t>
        </is>
      </c>
      <c r="E3514" s="12" t="inlineStr"/>
      <c r="F3514" s="12" t="inlineStr">
        <is>
          <t>CCS F&amp;G / control</t>
        </is>
      </c>
      <c r="G3514" s="12" t="inlineStr">
        <is>
          <t>JB-STR-A-AI01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PLTC|24 pr|18</t>
        </is>
      </c>
      <c r="L3514" s="12" t="inlineStr">
        <is>
          <t>24 pr</t>
        </is>
      </c>
      <c r="M3514" s="12" t="inlineStr">
        <is>
          <t>18</t>
        </is>
      </c>
      <c r="N3514" s="12" t="n">
        <v>1</v>
      </c>
      <c r="O3514" s="12" t="n">
        <v>1</v>
      </c>
      <c r="P3514" s="12" t="n"/>
      <c r="Q3514" s="12" t="n"/>
      <c r="R3514" s="12" t="n"/>
      <c r="S3514" s="12" t="inlineStr">
        <is>
          <t>Duct bank</t>
        </is>
      </c>
      <c r="T3514" s="15" t="n">
        <v>329</v>
      </c>
      <c r="U3514" s="15" t="n">
        <v>106</v>
      </c>
      <c r="V3514" s="15">
        <f>ROUNDUP((T3514+U3514+2*'Read Me'!$B$13)*(1+'Read Me'!$B$12),-1)</f>
        <v/>
      </c>
      <c r="W3514" s="15">
        <f>V3514*N3514*O3514</f>
        <v/>
      </c>
      <c r="X3514" s="12">
        <f>IF(LEFT(I3514,2)="MV",2*N3514*IF(L3514="1/C",O3514,1),0)</f>
        <v/>
      </c>
      <c r="Y3514" s="12">
        <f>IF(OR(LEFT(K3514,4)="LVAX",LEFT(K3514,6)="MV15AX",LEFT(K3514,4)="CTAX",LEFT(K3514,2)="W|"),2*N3514*O3514,0)</f>
        <v/>
      </c>
      <c r="Z3514" s="12" t="inlineStr"/>
      <c r="AA3514" s="12">
        <f>N3514*O3514</f>
        <v/>
      </c>
    </row>
    <row r="3515">
      <c r="A3515" s="12" t="inlineStr">
        <is>
          <t>G-I-0241</t>
        </is>
      </c>
      <c r="B3515" s="12" t="inlineStr">
        <is>
          <t>G</t>
        </is>
      </c>
      <c r="C3515" s="12" t="inlineStr">
        <is>
          <t>Carbon capture</t>
        </is>
      </c>
      <c r="D3515" s="12" t="inlineStr">
        <is>
          <t>Analog instrument to JB JB-STR-A-AI02: 20 x 1 pr (field cables)</t>
        </is>
      </c>
      <c r="E3515" s="12" t="inlineStr">
        <is>
          <t>STR-A</t>
        </is>
      </c>
      <c r="F3515" s="12" t="inlineStr">
        <is>
          <t>STR-A: stripper / regenerator (45 ft dia x 207 ft)</t>
        </is>
      </c>
      <c r="G3515" s="12" t="inlineStr">
        <is>
          <t>JB-STR-A-AI02</t>
        </is>
      </c>
      <c r="H3515" s="12" t="inlineStr">
        <is>
          <t>STR-A: stripper / regenerator (45 ft dia x 207 ft)</t>
        </is>
      </c>
      <c r="I3515" s="12" t="inlineStr">
        <is>
          <t>Instrumentation</t>
        </is>
      </c>
      <c r="J3515" s="12" t="inlineStr">
        <is>
          <t>Instrumentation PLTC / TC-ER 300 V, #18 twisted shielded pairs, overall shield</t>
        </is>
      </c>
      <c r="K3515" s="12" t="inlineStr">
        <is>
          <t>PLTC|1 pr|16</t>
        </is>
      </c>
      <c r="L3515" s="12" t="inlineStr">
        <is>
          <t>1 pr</t>
        </is>
      </c>
      <c r="M3515" s="12" t="inlineStr">
        <is>
          <t>16</t>
        </is>
      </c>
      <c r="N3515" s="12" t="n">
        <v>20</v>
      </c>
      <c r="O3515" s="12" t="n">
        <v>1</v>
      </c>
      <c r="P3515" s="12" t="n"/>
      <c r="Q3515" s="12" t="n"/>
      <c r="R3515" s="12" t="n"/>
      <c r="S3515" s="12" t="inlineStr">
        <is>
          <t>Tray / conduit</t>
        </is>
      </c>
      <c r="T3515" s="15" t="n">
        <v>153</v>
      </c>
      <c r="U3515" s="15" t="n">
        <v>10</v>
      </c>
      <c r="V3515" s="15">
        <f>ROUNDUP((T3515+U3515+2*'Read Me'!$B$13)*(1+'Read Me'!$B$12),-1)</f>
        <v/>
      </c>
      <c r="W3515" s="15">
        <f>V3515*N3515*O3515</f>
        <v/>
      </c>
      <c r="X3515" s="12">
        <f>IF(LEFT(I3515,2)="MV",2*N3515*IF(L3515="1/C",O3515,1),0)</f>
        <v/>
      </c>
      <c r="Y3515" s="12">
        <f>IF(OR(LEFT(K3515,4)="LVAX",LEFT(K3515,6)="MV15AX",LEFT(K3515,4)="CTAX",LEFT(K3515,2)="W|"),2*N3515*O3515,0)</f>
        <v/>
      </c>
      <c r="Z3515" s="12" t="inlineStr">
        <is>
          <t>device-to-JB field wiring, one cable per device</t>
        </is>
      </c>
      <c r="AA3515" s="12">
        <f>N3515*O3515</f>
        <v/>
      </c>
    </row>
    <row r="3516">
      <c r="A3516" s="12" t="inlineStr">
        <is>
          <t>G-I-0242</t>
        </is>
      </c>
      <c r="B3516" s="12" t="inlineStr">
        <is>
          <t>G</t>
        </is>
      </c>
      <c r="C3516" s="12" t="inlineStr">
        <is>
          <t>Carbon capture</t>
        </is>
      </c>
      <c r="D3516" s="12" t="inlineStr">
        <is>
          <t>Home run JB-STR-A-AI02 to the control / marshalling room</t>
        </is>
      </c>
      <c r="E3516" s="12" t="inlineStr"/>
      <c r="F3516" s="12" t="inlineStr">
        <is>
          <t>CCS F&amp;G / control</t>
        </is>
      </c>
      <c r="G3516" s="12" t="inlineStr">
        <is>
          <t>JB-STR-A-AI02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PLTC|24 pr|18</t>
        </is>
      </c>
      <c r="L3516" s="12" t="inlineStr">
        <is>
          <t>24 pr</t>
        </is>
      </c>
      <c r="M3516" s="12" t="inlineStr">
        <is>
          <t>18</t>
        </is>
      </c>
      <c r="N3516" s="12" t="n">
        <v>1</v>
      </c>
      <c r="O3516" s="12" t="n">
        <v>1</v>
      </c>
      <c r="P3516" s="12" t="n"/>
      <c r="Q3516" s="12" t="n"/>
      <c r="R3516" s="12" t="n"/>
      <c r="S3516" s="12" t="inlineStr">
        <is>
          <t>Duct bank</t>
        </is>
      </c>
      <c r="T3516" s="15" t="n">
        <v>329</v>
      </c>
      <c r="U3516" s="15" t="n">
        <v>106</v>
      </c>
      <c r="V3516" s="15">
        <f>ROUNDUP((T3516+U3516+2*'Read Me'!$B$13)*(1+'Read Me'!$B$12),-1)</f>
        <v/>
      </c>
      <c r="W3516" s="15">
        <f>V3516*N3516*O3516</f>
        <v/>
      </c>
      <c r="X3516" s="12">
        <f>IF(LEFT(I3516,2)="MV",2*N3516*IF(L3516="1/C",O3516,1),0)</f>
        <v/>
      </c>
      <c r="Y3516" s="12">
        <f>IF(OR(LEFT(K3516,4)="LVAX",LEFT(K3516,6)="MV15AX",LEFT(K3516,4)="CTAX",LEFT(K3516,2)="W|"),2*N3516*O3516,0)</f>
        <v/>
      </c>
      <c r="Z3516" s="12" t="inlineStr"/>
      <c r="AA3516" s="12">
        <f>N3516*O3516</f>
        <v/>
      </c>
    </row>
    <row r="3517">
      <c r="A3517" s="12" t="inlineStr">
        <is>
          <t>G-I-0243</t>
        </is>
      </c>
      <c r="B3517" s="12" t="inlineStr">
        <is>
          <t>G</t>
        </is>
      </c>
      <c r="C3517" s="12" t="inlineStr">
        <is>
          <t>Carbon capture</t>
        </is>
      </c>
      <c r="D3517" s="12" t="inlineStr">
        <is>
          <t>Analog instrument to JB JB-STR-A-AI03: 10 x 1 pr (field cables)</t>
        </is>
      </c>
      <c r="E3517" s="12" t="inlineStr">
        <is>
          <t>STR-A</t>
        </is>
      </c>
      <c r="F3517" s="12" t="inlineStr">
        <is>
          <t>STR-A: stripper / regenerator (45 ft dia x 207 ft)</t>
        </is>
      </c>
      <c r="G3517" s="12" t="inlineStr">
        <is>
          <t>JB-STR-A-AI03</t>
        </is>
      </c>
      <c r="H3517" s="12" t="inlineStr">
        <is>
          <t>STR-A: stripper / regenerator (45 ft dia x 207 ft)</t>
        </is>
      </c>
      <c r="I3517" s="12" t="inlineStr">
        <is>
          <t>Instrumentation</t>
        </is>
      </c>
      <c r="J3517" s="12" t="inlineStr">
        <is>
          <t>Instrumentation PLTC / TC-ER 300 V, #18 twisted shielded pairs, overall shield</t>
        </is>
      </c>
      <c r="K3517" s="12" t="inlineStr">
        <is>
          <t>PLTC|1 pr|16</t>
        </is>
      </c>
      <c r="L3517" s="12" t="inlineStr">
        <is>
          <t>1 pr</t>
        </is>
      </c>
      <c r="M3517" s="12" t="inlineStr">
        <is>
          <t>16</t>
        </is>
      </c>
      <c r="N3517" s="12" t="n">
        <v>10</v>
      </c>
      <c r="O3517" s="12" t="n">
        <v>1</v>
      </c>
      <c r="P3517" s="12" t="n"/>
      <c r="Q3517" s="12" t="n"/>
      <c r="R3517" s="12" t="n"/>
      <c r="S3517" s="12" t="inlineStr">
        <is>
          <t>Tray / conduit</t>
        </is>
      </c>
      <c r="T3517" s="15" t="n">
        <v>153</v>
      </c>
      <c r="U3517" s="15" t="n">
        <v>10</v>
      </c>
      <c r="V3517" s="15">
        <f>ROUNDUP((T3517+U3517+2*'Read Me'!$B$13)*(1+'Read Me'!$B$12),-1)</f>
        <v/>
      </c>
      <c r="W3517" s="15">
        <f>V3517*N3517*O3517</f>
        <v/>
      </c>
      <c r="X3517" s="12">
        <f>IF(LEFT(I3517,2)="MV",2*N3517*IF(L3517="1/C",O3517,1),0)</f>
        <v/>
      </c>
      <c r="Y3517" s="12">
        <f>IF(OR(LEFT(K3517,4)="LVAX",LEFT(K3517,6)="MV15AX",LEFT(K3517,4)="CTAX",LEFT(K3517,2)="W|"),2*N3517*O3517,0)</f>
        <v/>
      </c>
      <c r="Z3517" s="12" t="inlineStr">
        <is>
          <t>device-to-JB field wiring, one cable per device</t>
        </is>
      </c>
      <c r="AA3517" s="12">
        <f>N3517*O3517</f>
        <v/>
      </c>
    </row>
    <row r="3518">
      <c r="A3518" s="12" t="inlineStr">
        <is>
          <t>G-I-0244</t>
        </is>
      </c>
      <c r="B3518" s="12" t="inlineStr">
        <is>
          <t>G</t>
        </is>
      </c>
      <c r="C3518" s="12" t="inlineStr">
        <is>
          <t>Carbon capture</t>
        </is>
      </c>
      <c r="D3518" s="12" t="inlineStr">
        <is>
          <t>Home run JB-STR-A-AI03 to the control / marshalling room</t>
        </is>
      </c>
      <c r="E3518" s="12" t="inlineStr"/>
      <c r="F3518" s="12" t="inlineStr">
        <is>
          <t>CCS F&amp;G / control</t>
        </is>
      </c>
      <c r="G3518" s="12" t="inlineStr">
        <is>
          <t>JB-STR-A-AI03</t>
        </is>
      </c>
      <c r="H3518" s="12" t="inlineStr">
        <is>
          <t>STR-A: stripper / regenerator (45 ft dia x 207 ft)</t>
        </is>
      </c>
      <c r="I3518" s="12" t="inlineStr">
        <is>
          <t>Instrumentation</t>
        </is>
      </c>
      <c r="J3518" s="12" t="inlineStr">
        <is>
          <t>Instrumentation PLTC / TC-ER 300 V, #18 twisted shielded pairs, overall shield</t>
        </is>
      </c>
      <c r="K3518" s="12" t="inlineStr">
        <is>
          <t>PLTC|24 pr|18</t>
        </is>
      </c>
      <c r="L3518" s="12" t="inlineStr">
        <is>
          <t>24 pr</t>
        </is>
      </c>
      <c r="M3518" s="12" t="inlineStr">
        <is>
          <t>18</t>
        </is>
      </c>
      <c r="N3518" s="12" t="n">
        <v>1</v>
      </c>
      <c r="O3518" s="12" t="n">
        <v>1</v>
      </c>
      <c r="P3518" s="12" t="n"/>
      <c r="Q3518" s="12" t="n"/>
      <c r="R3518" s="12" t="n"/>
      <c r="S3518" s="12" t="inlineStr">
        <is>
          <t>Duct bank</t>
        </is>
      </c>
      <c r="T3518" s="15" t="n">
        <v>329</v>
      </c>
      <c r="U3518" s="15" t="n">
        <v>106</v>
      </c>
      <c r="V3518" s="15">
        <f>ROUNDUP((T3518+U3518+2*'Read Me'!$B$13)*(1+'Read Me'!$B$12),-1)</f>
        <v/>
      </c>
      <c r="W3518" s="15">
        <f>V3518*N3518*O3518</f>
        <v/>
      </c>
      <c r="X3518" s="12">
        <f>IF(LEFT(I3518,2)="MV",2*N3518*IF(L3518="1/C",O3518,1),0)</f>
        <v/>
      </c>
      <c r="Y3518" s="12">
        <f>IF(OR(LEFT(K3518,4)="LVAX",LEFT(K3518,6)="MV15AX",LEFT(K3518,4)="CTAX",LEFT(K3518,2)="W|"),2*N3518*O3518,0)</f>
        <v/>
      </c>
      <c r="Z3518" s="12" t="inlineStr"/>
      <c r="AA3518" s="12">
        <f>N3518*O3518</f>
        <v/>
      </c>
    </row>
    <row r="3519">
      <c r="A3519" s="12" t="inlineStr">
        <is>
          <t>G-I-0245</t>
        </is>
      </c>
      <c r="B3519" s="12" t="inlineStr">
        <is>
          <t>G</t>
        </is>
      </c>
      <c r="C3519" s="12" t="inlineStr">
        <is>
          <t>Carbon capture</t>
        </is>
      </c>
      <c r="D3519" s="12" t="inlineStr">
        <is>
          <t>Discrete device to JB JB-STR-A-DI01: 20 x 1 pr (field cables)</t>
        </is>
      </c>
      <c r="E3519" s="12" t="inlineStr">
        <is>
          <t>STR-A</t>
        </is>
      </c>
      <c r="F3519" s="12" t="inlineStr">
        <is>
          <t>STR-A: stripper / regenerator (45 ft dia x 207 ft)</t>
        </is>
      </c>
      <c r="G3519" s="12" t="inlineStr">
        <is>
          <t>JB-STR-A-DI01</t>
        </is>
      </c>
      <c r="H3519" s="12" t="inlineStr">
        <is>
          <t>STR-A: stripper / regenerator (45 ft dia x 207 ft)</t>
        </is>
      </c>
      <c r="I3519" s="12" t="inlineStr">
        <is>
          <t>Instrumentation</t>
        </is>
      </c>
      <c r="J3519" s="12" t="inlineStr">
        <is>
          <t>Instrumentation PLTC / TC-ER 300 V, #18 twisted shielded pairs, overall shield</t>
        </is>
      </c>
      <c r="K3519" s="12" t="inlineStr">
        <is>
          <t>PLTC|1 pr|16</t>
        </is>
      </c>
      <c r="L3519" s="12" t="inlineStr">
        <is>
          <t>1 pr</t>
        </is>
      </c>
      <c r="M3519" s="12" t="inlineStr">
        <is>
          <t>16</t>
        </is>
      </c>
      <c r="N3519" s="12" t="n">
        <v>20</v>
      </c>
      <c r="O3519" s="12" t="n">
        <v>1</v>
      </c>
      <c r="P3519" s="12" t="n"/>
      <c r="Q3519" s="12" t="n"/>
      <c r="R3519" s="12" t="n"/>
      <c r="S3519" s="12" t="inlineStr">
        <is>
          <t>Tray / conduit</t>
        </is>
      </c>
      <c r="T3519" s="15" t="n">
        <v>153</v>
      </c>
      <c r="U3519" s="15" t="n">
        <v>10</v>
      </c>
      <c r="V3519" s="15">
        <f>ROUNDUP((T3519+U3519+2*'Read Me'!$B$13)*(1+'Read Me'!$B$12),-1)</f>
        <v/>
      </c>
      <c r="W3519" s="15">
        <f>V3519*N3519*O3519</f>
        <v/>
      </c>
      <c r="X3519" s="12">
        <f>IF(LEFT(I3519,2)="MV",2*N3519*IF(L3519="1/C",O3519,1),0)</f>
        <v/>
      </c>
      <c r="Y3519" s="12">
        <f>IF(OR(LEFT(K3519,4)="LVAX",LEFT(K3519,6)="MV15AX",LEFT(K3519,4)="CTAX",LEFT(K3519,2)="W|"),2*N3519*O3519,0)</f>
        <v/>
      </c>
      <c r="Z3519" s="12" t="inlineStr">
        <is>
          <t>device-to-JB field wiring, one cable per device</t>
        </is>
      </c>
      <c r="AA3519" s="12">
        <f>N3519*O3519</f>
        <v/>
      </c>
    </row>
    <row r="3520">
      <c r="A3520" s="12" t="inlineStr">
        <is>
          <t>G-I-0246</t>
        </is>
      </c>
      <c r="B3520" s="12" t="inlineStr">
        <is>
          <t>G</t>
        </is>
      </c>
      <c r="C3520" s="12" t="inlineStr">
        <is>
          <t>Carbon capture</t>
        </is>
      </c>
      <c r="D3520" s="12" t="inlineStr">
        <is>
          <t>Home run JB-STR-A-DI01 to the control / marshalling room</t>
        </is>
      </c>
      <c r="E3520" s="12" t="inlineStr"/>
      <c r="F3520" s="12" t="inlineStr">
        <is>
          <t>CCS F&amp;G / control</t>
        </is>
      </c>
      <c r="G3520" s="12" t="inlineStr">
        <is>
          <t>JB-STR-A-DI01</t>
        </is>
      </c>
      <c r="H3520" s="12" t="inlineStr">
        <is>
          <t>STR-A: stripper / regenerator (45 ft dia x 207 ft)</t>
        </is>
      </c>
      <c r="I3520" s="12" t="inlineStr">
        <is>
          <t>Instrumentation</t>
        </is>
      </c>
      <c r="J3520" s="12" t="inlineStr">
        <is>
          <t>Instrumentation PLTC / TC-ER 300 V, #18 twisted shielded pairs, overall shield</t>
        </is>
      </c>
      <c r="K3520" s="12" t="inlineStr">
        <is>
          <t>PLTC|24 pr|18</t>
        </is>
      </c>
      <c r="L3520" s="12" t="inlineStr">
        <is>
          <t>24 pr</t>
        </is>
      </c>
      <c r="M3520" s="12" t="inlineStr">
        <is>
          <t>18</t>
        </is>
      </c>
      <c r="N3520" s="12" t="n">
        <v>1</v>
      </c>
      <c r="O3520" s="12" t="n">
        <v>1</v>
      </c>
      <c r="P3520" s="12" t="n"/>
      <c r="Q3520" s="12" t="n"/>
      <c r="R3520" s="12" t="n"/>
      <c r="S3520" s="12" t="inlineStr">
        <is>
          <t>Duct bank</t>
        </is>
      </c>
      <c r="T3520" s="15" t="n">
        <v>329</v>
      </c>
      <c r="U3520" s="15" t="n">
        <v>106</v>
      </c>
      <c r="V3520" s="15">
        <f>ROUNDUP((T3520+U3520+2*'Read Me'!$B$13)*(1+'Read Me'!$B$12),-1)</f>
        <v/>
      </c>
      <c r="W3520" s="15">
        <f>V3520*N3520*O3520</f>
        <v/>
      </c>
      <c r="X3520" s="12">
        <f>IF(LEFT(I3520,2)="MV",2*N3520*IF(L3520="1/C",O3520,1),0)</f>
        <v/>
      </c>
      <c r="Y3520" s="12">
        <f>IF(OR(LEFT(K3520,4)="LVAX",LEFT(K3520,6)="MV15AX",LEFT(K3520,4)="CTAX",LEFT(K3520,2)="W|"),2*N3520*O3520,0)</f>
        <v/>
      </c>
      <c r="Z3520" s="12" t="inlineStr"/>
      <c r="AA3520" s="12">
        <f>N3520*O3520</f>
        <v/>
      </c>
    </row>
    <row r="3521">
      <c r="A3521" s="12" t="inlineStr">
        <is>
          <t>G-I-0247</t>
        </is>
      </c>
      <c r="B3521" s="12" t="inlineStr">
        <is>
          <t>G</t>
        </is>
      </c>
      <c r="C3521" s="12" t="inlineStr">
        <is>
          <t>Carbon capture</t>
        </is>
      </c>
      <c r="D3521" s="12" t="inlineStr">
        <is>
          <t>Discrete device to JB JB-STR-A-DI02: 10 x 1 pr (field cables)</t>
        </is>
      </c>
      <c r="E3521" s="12" t="inlineStr">
        <is>
          <t>STR-A</t>
        </is>
      </c>
      <c r="F3521" s="12" t="inlineStr">
        <is>
          <t>STR-A: stripper / regenerator (45 ft dia x 207 ft)</t>
        </is>
      </c>
      <c r="G3521" s="12" t="inlineStr">
        <is>
          <t>JB-STR-A-DI02</t>
        </is>
      </c>
      <c r="H3521" s="12" t="inlineStr">
        <is>
          <t>STR-A: stripper / regenerator (45 ft dia x 207 ft)</t>
        </is>
      </c>
      <c r="I3521" s="12" t="inlineStr">
        <is>
          <t>Instrumentation</t>
        </is>
      </c>
      <c r="J3521" s="12" t="inlineStr">
        <is>
          <t>Instrumentation PLTC / TC-ER 300 V, #18 twisted shielded pairs, overall shield</t>
        </is>
      </c>
      <c r="K3521" s="12" t="inlineStr">
        <is>
          <t>PLTC|1 pr|16</t>
        </is>
      </c>
      <c r="L3521" s="12" t="inlineStr">
        <is>
          <t>1 pr</t>
        </is>
      </c>
      <c r="M3521" s="12" t="inlineStr">
        <is>
          <t>16</t>
        </is>
      </c>
      <c r="N3521" s="12" t="n">
        <v>10</v>
      </c>
      <c r="O3521" s="12" t="n">
        <v>1</v>
      </c>
      <c r="P3521" s="12" t="n"/>
      <c r="Q3521" s="12" t="n"/>
      <c r="R3521" s="12" t="n"/>
      <c r="S3521" s="12" t="inlineStr">
        <is>
          <t>Tray / conduit</t>
        </is>
      </c>
      <c r="T3521" s="15" t="n">
        <v>153</v>
      </c>
      <c r="U3521" s="15" t="n">
        <v>10</v>
      </c>
      <c r="V3521" s="15">
        <f>ROUNDUP((T3521+U3521+2*'Read Me'!$B$13)*(1+'Read Me'!$B$12),-1)</f>
        <v/>
      </c>
      <c r="W3521" s="15">
        <f>V3521*N3521*O3521</f>
        <v/>
      </c>
      <c r="X3521" s="12">
        <f>IF(LEFT(I3521,2)="MV",2*N3521*IF(L3521="1/C",O3521,1),0)</f>
        <v/>
      </c>
      <c r="Y3521" s="12">
        <f>IF(OR(LEFT(K3521,4)="LVAX",LEFT(K3521,6)="MV15AX",LEFT(K3521,4)="CTAX",LEFT(K3521,2)="W|"),2*N3521*O3521,0)</f>
        <v/>
      </c>
      <c r="Z3521" s="12" t="inlineStr">
        <is>
          <t>device-to-JB field wiring, one cable per device</t>
        </is>
      </c>
      <c r="AA3521" s="12">
        <f>N3521*O3521</f>
        <v/>
      </c>
    </row>
    <row r="3522">
      <c r="A3522" s="12" t="inlineStr">
        <is>
          <t>G-I-0248</t>
        </is>
      </c>
      <c r="B3522" s="12" t="inlineStr">
        <is>
          <t>G</t>
        </is>
      </c>
      <c r="C3522" s="12" t="inlineStr">
        <is>
          <t>Carbon capture</t>
        </is>
      </c>
      <c r="D3522" s="12" t="inlineStr">
        <is>
          <t>Home run JB-STR-A-DI02 to the control / marshalling room</t>
        </is>
      </c>
      <c r="E3522" s="12" t="inlineStr"/>
      <c r="F3522" s="12" t="inlineStr">
        <is>
          <t>CCS F&amp;G / control</t>
        </is>
      </c>
      <c r="G3522" s="12" t="inlineStr">
        <is>
          <t>JB-STR-A-DI02</t>
        </is>
      </c>
      <c r="H3522" s="12" t="inlineStr">
        <is>
          <t>STR-A: stripper / regenerator (45 ft dia x 207 ft)</t>
        </is>
      </c>
      <c r="I3522" s="12" t="inlineStr">
        <is>
          <t>Instrumentation</t>
        </is>
      </c>
      <c r="J3522" s="12" t="inlineStr">
        <is>
          <t>Instrumentation PLTC / TC-ER 300 V, #18 twisted shielded pairs, overall shield</t>
        </is>
      </c>
      <c r="K3522" s="12" t="inlineStr">
        <is>
          <t>PLTC|24 pr|18</t>
        </is>
      </c>
      <c r="L3522" s="12" t="inlineStr">
        <is>
          <t>24 pr</t>
        </is>
      </c>
      <c r="M3522" s="12" t="inlineStr">
        <is>
          <t>18</t>
        </is>
      </c>
      <c r="N3522" s="12" t="n">
        <v>1</v>
      </c>
      <c r="O3522" s="12" t="n">
        <v>1</v>
      </c>
      <c r="P3522" s="12" t="n"/>
      <c r="Q3522" s="12" t="n"/>
      <c r="R3522" s="12" t="n"/>
      <c r="S3522" s="12" t="inlineStr">
        <is>
          <t>Duct bank</t>
        </is>
      </c>
      <c r="T3522" s="15" t="n">
        <v>329</v>
      </c>
      <c r="U3522" s="15" t="n">
        <v>106</v>
      </c>
      <c r="V3522" s="15">
        <f>ROUNDUP((T3522+U3522+2*'Read Me'!$B$13)*(1+'Read Me'!$B$12),-1)</f>
        <v/>
      </c>
      <c r="W3522" s="15">
        <f>V3522*N3522*O3522</f>
        <v/>
      </c>
      <c r="X3522" s="12">
        <f>IF(LEFT(I3522,2)="MV",2*N3522*IF(L3522="1/C",O3522,1),0)</f>
        <v/>
      </c>
      <c r="Y3522" s="12">
        <f>IF(OR(LEFT(K3522,4)="LVAX",LEFT(K3522,6)="MV15AX",LEFT(K3522,4)="CTAX",LEFT(K3522,2)="W|"),2*N3522*O3522,0)</f>
        <v/>
      </c>
      <c r="Z3522" s="12" t="inlineStr"/>
      <c r="AA3522" s="12">
        <f>N3522*O3522</f>
        <v/>
      </c>
    </row>
    <row r="3523">
      <c r="A3523" s="12" t="inlineStr">
        <is>
          <t>G-I-0249</t>
        </is>
      </c>
      <c r="B3523" s="12" t="inlineStr">
        <is>
          <t>G</t>
        </is>
      </c>
      <c r="C3523" s="12" t="inlineStr">
        <is>
          <t>Carbon capture</t>
        </is>
      </c>
      <c r="D3523" s="12" t="inlineStr">
        <is>
          <t>Analog instrument to JB JB-STR-B-AI01: 20 x 1 pr (field cables)</t>
        </is>
      </c>
      <c r="E3523" s="12" t="inlineStr">
        <is>
          <t>STR-B</t>
        </is>
      </c>
      <c r="F3523" s="12" t="inlineStr">
        <is>
          <t>STR-B: stripper / regenerator (45 ft dia x 207 ft)</t>
        </is>
      </c>
      <c r="G3523" s="12" t="inlineStr">
        <is>
          <t>JB-STR-B-AI01</t>
        </is>
      </c>
      <c r="H3523" s="12" t="inlineStr">
        <is>
          <t>STR-B: stripper / regenerator (45 ft dia x 207 ft)</t>
        </is>
      </c>
      <c r="I3523" s="12" t="inlineStr">
        <is>
          <t>Instrumentation</t>
        </is>
      </c>
      <c r="J3523" s="12" t="inlineStr">
        <is>
          <t>Instrumentation PLTC / TC-ER 300 V, #18 twisted shielded pairs, overall shield</t>
        </is>
      </c>
      <c r="K3523" s="12" t="inlineStr">
        <is>
          <t>PLTC|1 pr|16</t>
        </is>
      </c>
      <c r="L3523" s="12" t="inlineStr">
        <is>
          <t>1 pr</t>
        </is>
      </c>
      <c r="M3523" s="12" t="inlineStr">
        <is>
          <t>16</t>
        </is>
      </c>
      <c r="N3523" s="12" t="n">
        <v>20</v>
      </c>
      <c r="O3523" s="12" t="n">
        <v>1</v>
      </c>
      <c r="P3523" s="12" t="n"/>
      <c r="Q3523" s="12" t="n"/>
      <c r="R3523" s="12" t="n"/>
      <c r="S3523" s="12" t="inlineStr">
        <is>
          <t>Tray / conduit</t>
        </is>
      </c>
      <c r="T3523" s="15" t="n">
        <v>153</v>
      </c>
      <c r="U3523" s="15" t="n">
        <v>10</v>
      </c>
      <c r="V3523" s="15">
        <f>ROUNDUP((T3523+U3523+2*'Read Me'!$B$13)*(1+'Read Me'!$B$12),-1)</f>
        <v/>
      </c>
      <c r="W3523" s="15">
        <f>V3523*N3523*O3523</f>
        <v/>
      </c>
      <c r="X3523" s="12">
        <f>IF(LEFT(I3523,2)="MV",2*N3523*IF(L3523="1/C",O3523,1),0)</f>
        <v/>
      </c>
      <c r="Y3523" s="12">
        <f>IF(OR(LEFT(K3523,4)="LVAX",LEFT(K3523,6)="MV15AX",LEFT(K3523,4)="CTAX",LEFT(K3523,2)="W|"),2*N3523*O3523,0)</f>
        <v/>
      </c>
      <c r="Z3523" s="12" t="inlineStr">
        <is>
          <t>device-to-JB field wiring, one cable per device</t>
        </is>
      </c>
      <c r="AA3523" s="12">
        <f>N3523*O3523</f>
        <v/>
      </c>
    </row>
    <row r="3524">
      <c r="A3524" s="12" t="inlineStr">
        <is>
          <t>G-I-0250</t>
        </is>
      </c>
      <c r="B3524" s="12" t="inlineStr">
        <is>
          <t>G</t>
        </is>
      </c>
      <c r="C3524" s="12" t="inlineStr">
        <is>
          <t>Carbon capture</t>
        </is>
      </c>
      <c r="D3524" s="12" t="inlineStr">
        <is>
          <t>Home run JB-STR-B-AI01 to the control / marshalling room</t>
        </is>
      </c>
      <c r="E3524" s="12" t="inlineStr"/>
      <c r="F3524" s="12" t="inlineStr">
        <is>
          <t>CCS F&amp;G / control</t>
        </is>
      </c>
      <c r="G3524" s="12" t="inlineStr">
        <is>
          <t>JB-STR-B-AI01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PLTC|24 pr|18</t>
        </is>
      </c>
      <c r="L3524" s="12" t="inlineStr">
        <is>
          <t>24 pr</t>
        </is>
      </c>
      <c r="M3524" s="12" t="inlineStr">
        <is>
          <t>18</t>
        </is>
      </c>
      <c r="N3524" s="12" t="n">
        <v>1</v>
      </c>
      <c r="O3524" s="12" t="n">
        <v>1</v>
      </c>
      <c r="P3524" s="12" t="n"/>
      <c r="Q3524" s="12" t="n"/>
      <c r="R3524" s="12" t="n"/>
      <c r="S3524" s="12" t="inlineStr">
        <is>
          <t>Duct bank</t>
        </is>
      </c>
      <c r="T3524" s="15" t="n">
        <v>279</v>
      </c>
      <c r="U3524" s="15" t="n">
        <v>106</v>
      </c>
      <c r="V3524" s="15">
        <f>ROUNDUP((T3524+U3524+2*'Read Me'!$B$13)*(1+'Read Me'!$B$12),-1)</f>
        <v/>
      </c>
      <c r="W3524" s="15">
        <f>V3524*N3524*O3524</f>
        <v/>
      </c>
      <c r="X3524" s="12">
        <f>IF(LEFT(I3524,2)="MV",2*N3524*IF(L3524="1/C",O3524,1),0)</f>
        <v/>
      </c>
      <c r="Y3524" s="12">
        <f>IF(OR(LEFT(K3524,4)="LVAX",LEFT(K3524,6)="MV15AX",LEFT(K3524,4)="CTAX",LEFT(K3524,2)="W|"),2*N3524*O3524,0)</f>
        <v/>
      </c>
      <c r="Z3524" s="12" t="inlineStr"/>
      <c r="AA3524" s="12">
        <f>N3524*O3524</f>
        <v/>
      </c>
    </row>
    <row r="3525">
      <c r="A3525" s="12" t="inlineStr">
        <is>
          <t>G-I-0251</t>
        </is>
      </c>
      <c r="B3525" s="12" t="inlineStr">
        <is>
          <t>G</t>
        </is>
      </c>
      <c r="C3525" s="12" t="inlineStr">
        <is>
          <t>Carbon capture</t>
        </is>
      </c>
      <c r="D3525" s="12" t="inlineStr">
        <is>
          <t>Analog instrument to JB JB-STR-B-AI02: 20 x 1 pr (field cables)</t>
        </is>
      </c>
      <c r="E3525" s="12" t="inlineStr">
        <is>
          <t>STR-B</t>
        </is>
      </c>
      <c r="F3525" s="12" t="inlineStr">
        <is>
          <t>STR-B: stripper / regenerator (45 ft dia x 207 ft)</t>
        </is>
      </c>
      <c r="G3525" s="12" t="inlineStr">
        <is>
          <t>JB-STR-B-AI02</t>
        </is>
      </c>
      <c r="H3525" s="12" t="inlineStr">
        <is>
          <t>STR-B: stripper / regenerator (45 ft dia x 207 ft)</t>
        </is>
      </c>
      <c r="I3525" s="12" t="inlineStr">
        <is>
          <t>Instrumentation</t>
        </is>
      </c>
      <c r="J3525" s="12" t="inlineStr">
        <is>
          <t>Instrumentation PLTC / TC-ER 300 V, #18 twisted shielded pairs, overall shield</t>
        </is>
      </c>
      <c r="K3525" s="12" t="inlineStr">
        <is>
          <t>PLTC|1 pr|16</t>
        </is>
      </c>
      <c r="L3525" s="12" t="inlineStr">
        <is>
          <t>1 pr</t>
        </is>
      </c>
      <c r="M3525" s="12" t="inlineStr">
        <is>
          <t>16</t>
        </is>
      </c>
      <c r="N3525" s="12" t="n">
        <v>20</v>
      </c>
      <c r="O3525" s="12" t="n">
        <v>1</v>
      </c>
      <c r="P3525" s="12" t="n"/>
      <c r="Q3525" s="12" t="n"/>
      <c r="R3525" s="12" t="n"/>
      <c r="S3525" s="12" t="inlineStr">
        <is>
          <t>Tray / conduit</t>
        </is>
      </c>
      <c r="T3525" s="15" t="n">
        <v>153</v>
      </c>
      <c r="U3525" s="15" t="n">
        <v>10</v>
      </c>
      <c r="V3525" s="15">
        <f>ROUNDUP((T3525+U3525+2*'Read Me'!$B$13)*(1+'Read Me'!$B$12),-1)</f>
        <v/>
      </c>
      <c r="W3525" s="15">
        <f>V3525*N3525*O3525</f>
        <v/>
      </c>
      <c r="X3525" s="12">
        <f>IF(LEFT(I3525,2)="MV",2*N3525*IF(L3525="1/C",O3525,1),0)</f>
        <v/>
      </c>
      <c r="Y3525" s="12">
        <f>IF(OR(LEFT(K3525,4)="LVAX",LEFT(K3525,6)="MV15AX",LEFT(K3525,4)="CTAX",LEFT(K3525,2)="W|"),2*N3525*O3525,0)</f>
        <v/>
      </c>
      <c r="Z3525" s="12" t="inlineStr">
        <is>
          <t>device-to-JB field wiring, one cable per device</t>
        </is>
      </c>
      <c r="AA3525" s="12">
        <f>N3525*O3525</f>
        <v/>
      </c>
    </row>
    <row r="3526">
      <c r="A3526" s="12" t="inlineStr">
        <is>
          <t>G-I-0252</t>
        </is>
      </c>
      <c r="B3526" s="12" t="inlineStr">
        <is>
          <t>G</t>
        </is>
      </c>
      <c r="C3526" s="12" t="inlineStr">
        <is>
          <t>Carbon capture</t>
        </is>
      </c>
      <c r="D3526" s="12" t="inlineStr">
        <is>
          <t>Home run JB-STR-B-AI02 to the control / marshalling room</t>
        </is>
      </c>
      <c r="E3526" s="12" t="inlineStr"/>
      <c r="F3526" s="12" t="inlineStr">
        <is>
          <t>CCS F&amp;G / control</t>
        </is>
      </c>
      <c r="G3526" s="12" t="inlineStr">
        <is>
          <t>JB-STR-B-AI02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PLTC|24 pr|18</t>
        </is>
      </c>
      <c r="L3526" s="12" t="inlineStr">
        <is>
          <t>24 pr</t>
        </is>
      </c>
      <c r="M3526" s="12" t="inlineStr">
        <is>
          <t>18</t>
        </is>
      </c>
      <c r="N3526" s="12" t="n">
        <v>1</v>
      </c>
      <c r="O3526" s="12" t="n">
        <v>1</v>
      </c>
      <c r="P3526" s="12" t="n"/>
      <c r="Q3526" s="12" t="n"/>
      <c r="R3526" s="12" t="n"/>
      <c r="S3526" s="12" t="inlineStr">
        <is>
          <t>Duct bank</t>
        </is>
      </c>
      <c r="T3526" s="15" t="n">
        <v>279</v>
      </c>
      <c r="U3526" s="15" t="n">
        <v>106</v>
      </c>
      <c r="V3526" s="15">
        <f>ROUNDUP((T3526+U3526+2*'Read Me'!$B$13)*(1+'Read Me'!$B$12),-1)</f>
        <v/>
      </c>
      <c r="W3526" s="15">
        <f>V3526*N3526*O3526</f>
        <v/>
      </c>
      <c r="X3526" s="12">
        <f>IF(LEFT(I3526,2)="MV",2*N3526*IF(L3526="1/C",O3526,1),0)</f>
        <v/>
      </c>
      <c r="Y3526" s="12">
        <f>IF(OR(LEFT(K3526,4)="LVAX",LEFT(K3526,6)="MV15AX",LEFT(K3526,4)="CTAX",LEFT(K3526,2)="W|"),2*N3526*O3526,0)</f>
        <v/>
      </c>
      <c r="Z3526" s="12" t="inlineStr"/>
      <c r="AA3526" s="12">
        <f>N3526*O3526</f>
        <v/>
      </c>
    </row>
    <row r="3527">
      <c r="A3527" s="12" t="inlineStr">
        <is>
          <t>G-I-0253</t>
        </is>
      </c>
      <c r="B3527" s="12" t="inlineStr">
        <is>
          <t>G</t>
        </is>
      </c>
      <c r="C3527" s="12" t="inlineStr">
        <is>
          <t>Carbon capture</t>
        </is>
      </c>
      <c r="D3527" s="12" t="inlineStr">
        <is>
          <t>Analog instrument to JB JB-STR-B-AI03: 10 x 1 pr (field cables)</t>
        </is>
      </c>
      <c r="E3527" s="12" t="inlineStr">
        <is>
          <t>STR-B</t>
        </is>
      </c>
      <c r="F3527" s="12" t="inlineStr">
        <is>
          <t>STR-B: stripper / regenerator (45 ft dia x 207 ft)</t>
        </is>
      </c>
      <c r="G3527" s="12" t="inlineStr">
        <is>
          <t>JB-STR-B-AI03</t>
        </is>
      </c>
      <c r="H3527" s="12" t="inlineStr">
        <is>
          <t>STR-B: stripper / regenerator (45 ft dia x 207 ft)</t>
        </is>
      </c>
      <c r="I3527" s="12" t="inlineStr">
        <is>
          <t>Instrumentation</t>
        </is>
      </c>
      <c r="J3527" s="12" t="inlineStr">
        <is>
          <t>Instrumentation PLTC / TC-ER 300 V, #18 twisted shielded pairs, overall shield</t>
        </is>
      </c>
      <c r="K3527" s="12" t="inlineStr">
        <is>
          <t>PLTC|1 pr|16</t>
        </is>
      </c>
      <c r="L3527" s="12" t="inlineStr">
        <is>
          <t>1 pr</t>
        </is>
      </c>
      <c r="M3527" s="12" t="inlineStr">
        <is>
          <t>16</t>
        </is>
      </c>
      <c r="N3527" s="12" t="n">
        <v>10</v>
      </c>
      <c r="O3527" s="12" t="n">
        <v>1</v>
      </c>
      <c r="P3527" s="12" t="n"/>
      <c r="Q3527" s="12" t="n"/>
      <c r="R3527" s="12" t="n"/>
      <c r="S3527" s="12" t="inlineStr">
        <is>
          <t>Tray / conduit</t>
        </is>
      </c>
      <c r="T3527" s="15" t="n">
        <v>153</v>
      </c>
      <c r="U3527" s="15" t="n">
        <v>10</v>
      </c>
      <c r="V3527" s="15">
        <f>ROUNDUP((T3527+U3527+2*'Read Me'!$B$13)*(1+'Read Me'!$B$12),-1)</f>
        <v/>
      </c>
      <c r="W3527" s="15">
        <f>V3527*N3527*O3527</f>
        <v/>
      </c>
      <c r="X3527" s="12">
        <f>IF(LEFT(I3527,2)="MV",2*N3527*IF(L3527="1/C",O3527,1),0)</f>
        <v/>
      </c>
      <c r="Y3527" s="12">
        <f>IF(OR(LEFT(K3527,4)="LVAX",LEFT(K3527,6)="MV15AX",LEFT(K3527,4)="CTAX",LEFT(K3527,2)="W|"),2*N3527*O3527,0)</f>
        <v/>
      </c>
      <c r="Z3527" s="12" t="inlineStr">
        <is>
          <t>device-to-JB field wiring, one cable per device</t>
        </is>
      </c>
      <c r="AA3527" s="12">
        <f>N3527*O3527</f>
        <v/>
      </c>
    </row>
    <row r="3528">
      <c r="A3528" s="12" t="inlineStr">
        <is>
          <t>G-I-0254</t>
        </is>
      </c>
      <c r="B3528" s="12" t="inlineStr">
        <is>
          <t>G</t>
        </is>
      </c>
      <c r="C3528" s="12" t="inlineStr">
        <is>
          <t>Carbon capture</t>
        </is>
      </c>
      <c r="D3528" s="12" t="inlineStr">
        <is>
          <t>Home run JB-STR-B-AI03 to the control / marshalling room</t>
        </is>
      </c>
      <c r="E3528" s="12" t="inlineStr"/>
      <c r="F3528" s="12" t="inlineStr">
        <is>
          <t>CCS F&amp;G / control</t>
        </is>
      </c>
      <c r="G3528" s="12" t="inlineStr">
        <is>
          <t>JB-STR-B-AI03</t>
        </is>
      </c>
      <c r="H3528" s="12" t="inlineStr">
        <is>
          <t>STR-B: stripper / regenerator (45 ft dia x 207 ft)</t>
        </is>
      </c>
      <c r="I3528" s="12" t="inlineStr">
        <is>
          <t>Instrumentation</t>
        </is>
      </c>
      <c r="J3528" s="12" t="inlineStr">
        <is>
          <t>Instrumentation PLTC / TC-ER 300 V, #18 twisted shielded pairs, overall shield</t>
        </is>
      </c>
      <c r="K3528" s="12" t="inlineStr">
        <is>
          <t>PLTC|24 pr|18</t>
        </is>
      </c>
      <c r="L3528" s="12" t="inlineStr">
        <is>
          <t>24 pr</t>
        </is>
      </c>
      <c r="M3528" s="12" t="inlineStr">
        <is>
          <t>18</t>
        </is>
      </c>
      <c r="N3528" s="12" t="n">
        <v>1</v>
      </c>
      <c r="O3528" s="12" t="n">
        <v>1</v>
      </c>
      <c r="P3528" s="12" t="n"/>
      <c r="Q3528" s="12" t="n"/>
      <c r="R3528" s="12" t="n"/>
      <c r="S3528" s="12" t="inlineStr">
        <is>
          <t>Duct bank</t>
        </is>
      </c>
      <c r="T3528" s="15" t="n">
        <v>279</v>
      </c>
      <c r="U3528" s="15" t="n">
        <v>106</v>
      </c>
      <c r="V3528" s="15">
        <f>ROUNDUP((T3528+U3528+2*'Read Me'!$B$13)*(1+'Read Me'!$B$12),-1)</f>
        <v/>
      </c>
      <c r="W3528" s="15">
        <f>V3528*N3528*O3528</f>
        <v/>
      </c>
      <c r="X3528" s="12">
        <f>IF(LEFT(I3528,2)="MV",2*N3528*IF(L3528="1/C",O3528,1),0)</f>
        <v/>
      </c>
      <c r="Y3528" s="12">
        <f>IF(OR(LEFT(K3528,4)="LVAX",LEFT(K3528,6)="MV15AX",LEFT(K3528,4)="CTAX",LEFT(K3528,2)="W|"),2*N3528*O3528,0)</f>
        <v/>
      </c>
      <c r="Z3528" s="12" t="inlineStr"/>
      <c r="AA3528" s="12">
        <f>N3528*O3528</f>
        <v/>
      </c>
    </row>
    <row r="3529">
      <c r="A3529" s="12" t="inlineStr">
        <is>
          <t>G-I-0255</t>
        </is>
      </c>
      <c r="B3529" s="12" t="inlineStr">
        <is>
          <t>G</t>
        </is>
      </c>
      <c r="C3529" s="12" t="inlineStr">
        <is>
          <t>Carbon capture</t>
        </is>
      </c>
      <c r="D3529" s="12" t="inlineStr">
        <is>
          <t>Discrete device to JB JB-STR-B-DI01: 20 x 1 pr (field cables)</t>
        </is>
      </c>
      <c r="E3529" s="12" t="inlineStr">
        <is>
          <t>STR-B</t>
        </is>
      </c>
      <c r="F3529" s="12" t="inlineStr">
        <is>
          <t>STR-B: stripper / regenerator (45 ft dia x 207 ft)</t>
        </is>
      </c>
      <c r="G3529" s="12" t="inlineStr">
        <is>
          <t>JB-STR-B-DI01</t>
        </is>
      </c>
      <c r="H3529" s="12" t="inlineStr">
        <is>
          <t>STR-B: stripper / regenerator (45 ft dia x 207 ft)</t>
        </is>
      </c>
      <c r="I3529" s="12" t="inlineStr">
        <is>
          <t>Instrumentation</t>
        </is>
      </c>
      <c r="J3529" s="12" t="inlineStr">
        <is>
          <t>Instrumentation PLTC / TC-ER 300 V, #18 twisted shielded pairs, overall shield</t>
        </is>
      </c>
      <c r="K3529" s="12" t="inlineStr">
        <is>
          <t>PLTC|1 pr|16</t>
        </is>
      </c>
      <c r="L3529" s="12" t="inlineStr">
        <is>
          <t>1 pr</t>
        </is>
      </c>
      <c r="M3529" s="12" t="inlineStr">
        <is>
          <t>16</t>
        </is>
      </c>
      <c r="N3529" s="12" t="n">
        <v>20</v>
      </c>
      <c r="O3529" s="12" t="n">
        <v>1</v>
      </c>
      <c r="P3529" s="12" t="n"/>
      <c r="Q3529" s="12" t="n"/>
      <c r="R3529" s="12" t="n"/>
      <c r="S3529" s="12" t="inlineStr">
        <is>
          <t>Tray / conduit</t>
        </is>
      </c>
      <c r="T3529" s="15" t="n">
        <v>153</v>
      </c>
      <c r="U3529" s="15" t="n">
        <v>10</v>
      </c>
      <c r="V3529" s="15">
        <f>ROUNDUP((T3529+U3529+2*'Read Me'!$B$13)*(1+'Read Me'!$B$12),-1)</f>
        <v/>
      </c>
      <c r="W3529" s="15">
        <f>V3529*N3529*O3529</f>
        <v/>
      </c>
      <c r="X3529" s="12">
        <f>IF(LEFT(I3529,2)="MV",2*N3529*IF(L3529="1/C",O3529,1),0)</f>
        <v/>
      </c>
      <c r="Y3529" s="12">
        <f>IF(OR(LEFT(K3529,4)="LVAX",LEFT(K3529,6)="MV15AX",LEFT(K3529,4)="CTAX",LEFT(K3529,2)="W|"),2*N3529*O3529,0)</f>
        <v/>
      </c>
      <c r="Z3529" s="12" t="inlineStr">
        <is>
          <t>device-to-JB field wiring, one cable per device</t>
        </is>
      </c>
      <c r="AA3529" s="12">
        <f>N3529*O3529</f>
        <v/>
      </c>
    </row>
    <row r="3530">
      <c r="A3530" s="12" t="inlineStr">
        <is>
          <t>G-I-0256</t>
        </is>
      </c>
      <c r="B3530" s="12" t="inlineStr">
        <is>
          <t>G</t>
        </is>
      </c>
      <c r="C3530" s="12" t="inlineStr">
        <is>
          <t>Carbon capture</t>
        </is>
      </c>
      <c r="D3530" s="12" t="inlineStr">
        <is>
          <t>Home run JB-STR-B-DI01 to the control / marshalling room</t>
        </is>
      </c>
      <c r="E3530" s="12" t="inlineStr"/>
      <c r="F3530" s="12" t="inlineStr">
        <is>
          <t>CCS F&amp;G / control</t>
        </is>
      </c>
      <c r="G3530" s="12" t="inlineStr">
        <is>
          <t>JB-STR-B-DI01</t>
        </is>
      </c>
      <c r="H3530" s="12" t="inlineStr">
        <is>
          <t>STR-B: stripper / regenerator (45 ft dia x 207 ft)</t>
        </is>
      </c>
      <c r="I3530" s="12" t="inlineStr">
        <is>
          <t>Instrumentation</t>
        </is>
      </c>
      <c r="J3530" s="12" t="inlineStr">
        <is>
          <t>Instrumentation PLTC / TC-ER 300 V, #18 twisted shielded pairs, overall shield</t>
        </is>
      </c>
      <c r="K3530" s="12" t="inlineStr">
        <is>
          <t>PLTC|24 pr|18</t>
        </is>
      </c>
      <c r="L3530" s="12" t="inlineStr">
        <is>
          <t>24 pr</t>
        </is>
      </c>
      <c r="M3530" s="12" t="inlineStr">
        <is>
          <t>18</t>
        </is>
      </c>
      <c r="N3530" s="12" t="n">
        <v>1</v>
      </c>
      <c r="O3530" s="12" t="n">
        <v>1</v>
      </c>
      <c r="P3530" s="12" t="n"/>
      <c r="Q3530" s="12" t="n"/>
      <c r="R3530" s="12" t="n"/>
      <c r="S3530" s="12" t="inlineStr">
        <is>
          <t>Duct bank</t>
        </is>
      </c>
      <c r="T3530" s="15" t="n">
        <v>279</v>
      </c>
      <c r="U3530" s="15" t="n">
        <v>106</v>
      </c>
      <c r="V3530" s="15">
        <f>ROUNDUP((T3530+U3530+2*'Read Me'!$B$13)*(1+'Read Me'!$B$12),-1)</f>
        <v/>
      </c>
      <c r="W3530" s="15">
        <f>V3530*N3530*O3530</f>
        <v/>
      </c>
      <c r="X3530" s="12">
        <f>IF(LEFT(I3530,2)="MV",2*N3530*IF(L3530="1/C",O3530,1),0)</f>
        <v/>
      </c>
      <c r="Y3530" s="12">
        <f>IF(OR(LEFT(K3530,4)="LVAX",LEFT(K3530,6)="MV15AX",LEFT(K3530,4)="CTAX",LEFT(K3530,2)="W|"),2*N3530*O3530,0)</f>
        <v/>
      </c>
      <c r="Z3530" s="12" t="inlineStr"/>
      <c r="AA3530" s="12">
        <f>N3530*O3530</f>
        <v/>
      </c>
    </row>
    <row r="3531">
      <c r="A3531" s="12" t="inlineStr">
        <is>
          <t>G-I-0257</t>
        </is>
      </c>
      <c r="B3531" s="12" t="inlineStr">
        <is>
          <t>G</t>
        </is>
      </c>
      <c r="C3531" s="12" t="inlineStr">
        <is>
          <t>Carbon capture</t>
        </is>
      </c>
      <c r="D3531" s="12" t="inlineStr">
        <is>
          <t>Discrete device to JB JB-STR-B-DI02: 10 x 1 pr (field cables)</t>
        </is>
      </c>
      <c r="E3531" s="12" t="inlineStr">
        <is>
          <t>STR-B</t>
        </is>
      </c>
      <c r="F3531" s="12" t="inlineStr">
        <is>
          <t>STR-B: stripper / regenerator (45 ft dia x 207 ft)</t>
        </is>
      </c>
      <c r="G3531" s="12" t="inlineStr">
        <is>
          <t>JB-STR-B-DI02</t>
        </is>
      </c>
      <c r="H3531" s="12" t="inlineStr">
        <is>
          <t>STR-B: stripper / regenerator (45 ft dia x 207 ft)</t>
        </is>
      </c>
      <c r="I3531" s="12" t="inlineStr">
        <is>
          <t>Instrumentation</t>
        </is>
      </c>
      <c r="J3531" s="12" t="inlineStr">
        <is>
          <t>Instrumentation PLTC / TC-ER 300 V, #18 twisted shielded pairs, overall shield</t>
        </is>
      </c>
      <c r="K3531" s="12" t="inlineStr">
        <is>
          <t>PLTC|1 pr|16</t>
        </is>
      </c>
      <c r="L3531" s="12" t="inlineStr">
        <is>
          <t>1 pr</t>
        </is>
      </c>
      <c r="M3531" s="12" t="inlineStr">
        <is>
          <t>16</t>
        </is>
      </c>
      <c r="N3531" s="12" t="n">
        <v>10</v>
      </c>
      <c r="O3531" s="12" t="n">
        <v>1</v>
      </c>
      <c r="P3531" s="12" t="n"/>
      <c r="Q3531" s="12" t="n"/>
      <c r="R3531" s="12" t="n"/>
      <c r="S3531" s="12" t="inlineStr">
        <is>
          <t>Tray / conduit</t>
        </is>
      </c>
      <c r="T3531" s="15" t="n">
        <v>153</v>
      </c>
      <c r="U3531" s="15" t="n">
        <v>10</v>
      </c>
      <c r="V3531" s="15">
        <f>ROUNDUP((T3531+U3531+2*'Read Me'!$B$13)*(1+'Read Me'!$B$12),-1)</f>
        <v/>
      </c>
      <c r="W3531" s="15">
        <f>V3531*N3531*O3531</f>
        <v/>
      </c>
      <c r="X3531" s="12">
        <f>IF(LEFT(I3531,2)="MV",2*N3531*IF(L3531="1/C",O3531,1),0)</f>
        <v/>
      </c>
      <c r="Y3531" s="12">
        <f>IF(OR(LEFT(K3531,4)="LVAX",LEFT(K3531,6)="MV15AX",LEFT(K3531,4)="CTAX",LEFT(K3531,2)="W|"),2*N3531*O3531,0)</f>
        <v/>
      </c>
      <c r="Z3531" s="12" t="inlineStr">
        <is>
          <t>device-to-JB field wiring, one cable per device</t>
        </is>
      </c>
      <c r="AA3531" s="12">
        <f>N3531*O3531</f>
        <v/>
      </c>
    </row>
    <row r="3532">
      <c r="A3532" s="12" t="inlineStr">
        <is>
          <t>G-I-0258</t>
        </is>
      </c>
      <c r="B3532" s="12" t="inlineStr">
        <is>
          <t>G</t>
        </is>
      </c>
      <c r="C3532" s="12" t="inlineStr">
        <is>
          <t>Carbon capture</t>
        </is>
      </c>
      <c r="D3532" s="12" t="inlineStr">
        <is>
          <t>Home run JB-STR-B-DI02 to the control / marshalling room</t>
        </is>
      </c>
      <c r="E3532" s="12" t="inlineStr"/>
      <c r="F3532" s="12" t="inlineStr">
        <is>
          <t>CCS F&amp;G / control</t>
        </is>
      </c>
      <c r="G3532" s="12" t="inlineStr">
        <is>
          <t>JB-STR-B-DI02</t>
        </is>
      </c>
      <c r="H3532" s="12" t="inlineStr">
        <is>
          <t>STR-B: stripper / regenerator (45 ft dia x 207 ft)</t>
        </is>
      </c>
      <c r="I3532" s="12" t="inlineStr">
        <is>
          <t>Instrumentation</t>
        </is>
      </c>
      <c r="J3532" s="12" t="inlineStr">
        <is>
          <t>Instrumentation PLTC / TC-ER 300 V, #18 twisted shielded pairs, overall shield</t>
        </is>
      </c>
      <c r="K3532" s="12" t="inlineStr">
        <is>
          <t>PLTC|24 pr|18</t>
        </is>
      </c>
      <c r="L3532" s="12" t="inlineStr">
        <is>
          <t>24 pr</t>
        </is>
      </c>
      <c r="M3532" s="12" t="inlineStr">
        <is>
          <t>18</t>
        </is>
      </c>
      <c r="N3532" s="12" t="n">
        <v>1</v>
      </c>
      <c r="O3532" s="12" t="n">
        <v>1</v>
      </c>
      <c r="P3532" s="12" t="n"/>
      <c r="Q3532" s="12" t="n"/>
      <c r="R3532" s="12" t="n"/>
      <c r="S3532" s="12" t="inlineStr">
        <is>
          <t>Duct bank</t>
        </is>
      </c>
      <c r="T3532" s="15" t="n">
        <v>279</v>
      </c>
      <c r="U3532" s="15" t="n">
        <v>106</v>
      </c>
      <c r="V3532" s="15">
        <f>ROUNDUP((T3532+U3532+2*'Read Me'!$B$13)*(1+'Read Me'!$B$12),-1)</f>
        <v/>
      </c>
      <c r="W3532" s="15">
        <f>V3532*N3532*O3532</f>
        <v/>
      </c>
      <c r="X3532" s="12">
        <f>IF(LEFT(I3532,2)="MV",2*N3532*IF(L3532="1/C",O3532,1),0)</f>
        <v/>
      </c>
      <c r="Y3532" s="12">
        <f>IF(OR(LEFT(K3532,4)="LVAX",LEFT(K3532,6)="MV15AX",LEFT(K3532,4)="CTAX",LEFT(K3532,2)="W|"),2*N3532*O3532,0)</f>
        <v/>
      </c>
      <c r="Z3532" s="12" t="inlineStr"/>
      <c r="AA3532" s="12">
        <f>N3532*O3532</f>
        <v/>
      </c>
    </row>
    <row r="3533">
      <c r="A3533" s="12" t="inlineStr">
        <is>
          <t>G-I-0259</t>
        </is>
      </c>
      <c r="B3533" s="12" t="inlineStr">
        <is>
          <t>G</t>
        </is>
      </c>
      <c r="C3533" s="12" t="inlineStr">
        <is>
          <t>Carbon capture</t>
        </is>
      </c>
      <c r="D3533" s="12" t="inlineStr">
        <is>
          <t>Analog instrument to JB JB-STR-C-AI01: 20 x 1 pr (field cables)</t>
        </is>
      </c>
      <c r="E3533" s="12" t="inlineStr">
        <is>
          <t>STR-C</t>
        </is>
      </c>
      <c r="F3533" s="12" t="inlineStr">
        <is>
          <t>STR-C: stripper / regenerator (45 ft dia x 207 ft)</t>
        </is>
      </c>
      <c r="G3533" s="12" t="inlineStr">
        <is>
          <t>JB-STR-C-AI01</t>
        </is>
      </c>
      <c r="H3533" s="12" t="inlineStr">
        <is>
          <t>STR-C: stripper / regenerator (45 ft dia x 207 ft)</t>
        </is>
      </c>
      <c r="I3533" s="12" t="inlineStr">
        <is>
          <t>Instrumentation</t>
        </is>
      </c>
      <c r="J3533" s="12" t="inlineStr">
        <is>
          <t>Instrumentation PLTC / TC-ER 300 V, #18 twisted shielded pairs, overall shield</t>
        </is>
      </c>
      <c r="K3533" s="12" t="inlineStr">
        <is>
          <t>PLTC|1 pr|16</t>
        </is>
      </c>
      <c r="L3533" s="12" t="inlineStr">
        <is>
          <t>1 pr</t>
        </is>
      </c>
      <c r="M3533" s="12" t="inlineStr">
        <is>
          <t>16</t>
        </is>
      </c>
      <c r="N3533" s="12" t="n">
        <v>20</v>
      </c>
      <c r="O3533" s="12" t="n">
        <v>1</v>
      </c>
      <c r="P3533" s="12" t="n"/>
      <c r="Q3533" s="12" t="n"/>
      <c r="R3533" s="12" t="n"/>
      <c r="S3533" s="12" t="inlineStr">
        <is>
          <t>Tray / conduit</t>
        </is>
      </c>
      <c r="T3533" s="15" t="n">
        <v>153</v>
      </c>
      <c r="U3533" s="15" t="n">
        <v>10</v>
      </c>
      <c r="V3533" s="15">
        <f>ROUNDUP((T3533+U3533+2*'Read Me'!$B$13)*(1+'Read Me'!$B$12),-1)</f>
        <v/>
      </c>
      <c r="W3533" s="15">
        <f>V3533*N3533*O3533</f>
        <v/>
      </c>
      <c r="X3533" s="12">
        <f>IF(LEFT(I3533,2)="MV",2*N3533*IF(L3533="1/C",O3533,1),0)</f>
        <v/>
      </c>
      <c r="Y3533" s="12">
        <f>IF(OR(LEFT(K3533,4)="LVAX",LEFT(K3533,6)="MV15AX",LEFT(K3533,4)="CTAX",LEFT(K3533,2)="W|"),2*N3533*O3533,0)</f>
        <v/>
      </c>
      <c r="Z3533" s="12" t="inlineStr">
        <is>
          <t>device-to-JB field wiring, one cable per device</t>
        </is>
      </c>
      <c r="AA3533" s="12">
        <f>N3533*O3533</f>
        <v/>
      </c>
    </row>
    <row r="3534">
      <c r="A3534" s="12" t="inlineStr">
        <is>
          <t>G-I-0260</t>
        </is>
      </c>
      <c r="B3534" s="12" t="inlineStr">
        <is>
          <t>G</t>
        </is>
      </c>
      <c r="C3534" s="12" t="inlineStr">
        <is>
          <t>Carbon capture</t>
        </is>
      </c>
      <c r="D3534" s="12" t="inlineStr">
        <is>
          <t>Home run JB-STR-C-AI01 to the control / marshalling room</t>
        </is>
      </c>
      <c r="E3534" s="12" t="inlineStr"/>
      <c r="F3534" s="12" t="inlineStr">
        <is>
          <t>CCS F&amp;G / control</t>
        </is>
      </c>
      <c r="G3534" s="12" t="inlineStr">
        <is>
          <t>JB-STR-C-AI01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PLTC|24 pr|18</t>
        </is>
      </c>
      <c r="L3534" s="12" t="inlineStr">
        <is>
          <t>24 pr</t>
        </is>
      </c>
      <c r="M3534" s="12" t="inlineStr">
        <is>
          <t>18</t>
        </is>
      </c>
      <c r="N3534" s="12" t="n">
        <v>1</v>
      </c>
      <c r="O3534" s="12" t="n">
        <v>1</v>
      </c>
      <c r="P3534" s="12" t="n"/>
      <c r="Q3534" s="12" t="n"/>
      <c r="R3534" s="12" t="n"/>
      <c r="S3534" s="12" t="inlineStr">
        <is>
          <t>Duct bank</t>
        </is>
      </c>
      <c r="T3534" s="15" t="n">
        <v>195</v>
      </c>
      <c r="U3534" s="15" t="n">
        <v>162</v>
      </c>
      <c r="V3534" s="15">
        <f>ROUNDUP((T3534+U3534+2*'Read Me'!$B$13)*(1+'Read Me'!$B$12),-1)</f>
        <v/>
      </c>
      <c r="W3534" s="15">
        <f>V3534*N3534*O3534</f>
        <v/>
      </c>
      <c r="X3534" s="12">
        <f>IF(LEFT(I3534,2)="MV",2*N3534*IF(L3534="1/C",O3534,1),0)</f>
        <v/>
      </c>
      <c r="Y3534" s="12">
        <f>IF(OR(LEFT(K3534,4)="LVAX",LEFT(K3534,6)="MV15AX",LEFT(K3534,4)="CTAX",LEFT(K3534,2)="W|"),2*N3534*O3534,0)</f>
        <v/>
      </c>
      <c r="Z3534" s="12" t="inlineStr"/>
      <c r="AA3534" s="12">
        <f>N3534*O3534</f>
        <v/>
      </c>
    </row>
    <row r="3535">
      <c r="A3535" s="12" t="inlineStr">
        <is>
          <t>G-I-0261</t>
        </is>
      </c>
      <c r="B3535" s="12" t="inlineStr">
        <is>
          <t>G</t>
        </is>
      </c>
      <c r="C3535" s="12" t="inlineStr">
        <is>
          <t>Carbon capture</t>
        </is>
      </c>
      <c r="D3535" s="12" t="inlineStr">
        <is>
          <t>Analog instrument to JB JB-STR-C-AI02: 20 x 1 pr (field cables)</t>
        </is>
      </c>
      <c r="E3535" s="12" t="inlineStr">
        <is>
          <t>STR-C</t>
        </is>
      </c>
      <c r="F3535" s="12" t="inlineStr">
        <is>
          <t>STR-C: stripper / regenerator (45 ft dia x 207 ft)</t>
        </is>
      </c>
      <c r="G3535" s="12" t="inlineStr">
        <is>
          <t>JB-STR-C-AI02</t>
        </is>
      </c>
      <c r="H3535" s="12" t="inlineStr">
        <is>
          <t>STR-C: stripper / regenerator (45 ft dia x 207 ft)</t>
        </is>
      </c>
      <c r="I3535" s="12" t="inlineStr">
        <is>
          <t>Instrumentation</t>
        </is>
      </c>
      <c r="J3535" s="12" t="inlineStr">
        <is>
          <t>Instrumentation PLTC / TC-ER 300 V, #18 twisted shielded pairs, overall shield</t>
        </is>
      </c>
      <c r="K3535" s="12" t="inlineStr">
        <is>
          <t>PLTC|1 pr|16</t>
        </is>
      </c>
      <c r="L3535" s="12" t="inlineStr">
        <is>
          <t>1 pr</t>
        </is>
      </c>
      <c r="M3535" s="12" t="inlineStr">
        <is>
          <t>16</t>
        </is>
      </c>
      <c r="N3535" s="12" t="n">
        <v>20</v>
      </c>
      <c r="O3535" s="12" t="n">
        <v>1</v>
      </c>
      <c r="P3535" s="12" t="n"/>
      <c r="Q3535" s="12" t="n"/>
      <c r="R3535" s="12" t="n"/>
      <c r="S3535" s="12" t="inlineStr">
        <is>
          <t>Tray / conduit</t>
        </is>
      </c>
      <c r="T3535" s="15" t="n">
        <v>153</v>
      </c>
      <c r="U3535" s="15" t="n">
        <v>10</v>
      </c>
      <c r="V3535" s="15">
        <f>ROUNDUP((T3535+U3535+2*'Read Me'!$B$13)*(1+'Read Me'!$B$12),-1)</f>
        <v/>
      </c>
      <c r="W3535" s="15">
        <f>V3535*N3535*O3535</f>
        <v/>
      </c>
      <c r="X3535" s="12">
        <f>IF(LEFT(I3535,2)="MV",2*N3535*IF(L3535="1/C",O3535,1),0)</f>
        <v/>
      </c>
      <c r="Y3535" s="12">
        <f>IF(OR(LEFT(K3535,4)="LVAX",LEFT(K3535,6)="MV15AX",LEFT(K3535,4)="CTAX",LEFT(K3535,2)="W|"),2*N3535*O3535,0)</f>
        <v/>
      </c>
      <c r="Z3535" s="12" t="inlineStr">
        <is>
          <t>device-to-JB field wiring, one cable per device</t>
        </is>
      </c>
      <c r="AA3535" s="12">
        <f>N3535*O3535</f>
        <v/>
      </c>
    </row>
    <row r="3536">
      <c r="A3536" s="12" t="inlineStr">
        <is>
          <t>G-I-0262</t>
        </is>
      </c>
      <c r="B3536" s="12" t="inlineStr">
        <is>
          <t>G</t>
        </is>
      </c>
      <c r="C3536" s="12" t="inlineStr">
        <is>
          <t>Carbon capture</t>
        </is>
      </c>
      <c r="D3536" s="12" t="inlineStr">
        <is>
          <t>Home run JB-STR-C-AI02 to the control / marshalling room</t>
        </is>
      </c>
      <c r="E3536" s="12" t="inlineStr"/>
      <c r="F3536" s="12" t="inlineStr">
        <is>
          <t>CCS F&amp;G / control</t>
        </is>
      </c>
      <c r="G3536" s="12" t="inlineStr">
        <is>
          <t>JB-STR-C-AI02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PLTC|24 pr|18</t>
        </is>
      </c>
      <c r="L3536" s="12" t="inlineStr">
        <is>
          <t>24 pr</t>
        </is>
      </c>
      <c r="M3536" s="12" t="inlineStr">
        <is>
          <t>18</t>
        </is>
      </c>
      <c r="N3536" s="12" t="n">
        <v>1</v>
      </c>
      <c r="O3536" s="12" t="n">
        <v>1</v>
      </c>
      <c r="P3536" s="12" t="n"/>
      <c r="Q3536" s="12" t="n"/>
      <c r="R3536" s="12" t="n"/>
      <c r="S3536" s="12" t="inlineStr">
        <is>
          <t>Duct bank</t>
        </is>
      </c>
      <c r="T3536" s="15" t="n">
        <v>195</v>
      </c>
      <c r="U3536" s="15" t="n">
        <v>162</v>
      </c>
      <c r="V3536" s="15">
        <f>ROUNDUP((T3536+U3536+2*'Read Me'!$B$13)*(1+'Read Me'!$B$12),-1)</f>
        <v/>
      </c>
      <c r="W3536" s="15">
        <f>V3536*N3536*O3536</f>
        <v/>
      </c>
      <c r="X3536" s="12">
        <f>IF(LEFT(I3536,2)="MV",2*N3536*IF(L3536="1/C",O3536,1),0)</f>
        <v/>
      </c>
      <c r="Y3536" s="12">
        <f>IF(OR(LEFT(K3536,4)="LVAX",LEFT(K3536,6)="MV15AX",LEFT(K3536,4)="CTAX",LEFT(K3536,2)="W|"),2*N3536*O3536,0)</f>
        <v/>
      </c>
      <c r="Z3536" s="12" t="inlineStr"/>
      <c r="AA3536" s="12">
        <f>N3536*O3536</f>
        <v/>
      </c>
    </row>
    <row r="3537">
      <c r="A3537" s="12" t="inlineStr">
        <is>
          <t>G-I-0263</t>
        </is>
      </c>
      <c r="B3537" s="12" t="inlineStr">
        <is>
          <t>G</t>
        </is>
      </c>
      <c r="C3537" s="12" t="inlineStr">
        <is>
          <t>Carbon capture</t>
        </is>
      </c>
      <c r="D3537" s="12" t="inlineStr">
        <is>
          <t>Analog instrument to JB JB-STR-C-AI03: 10 x 1 pr (field cables)</t>
        </is>
      </c>
      <c r="E3537" s="12" t="inlineStr">
        <is>
          <t>STR-C</t>
        </is>
      </c>
      <c r="F3537" s="12" t="inlineStr">
        <is>
          <t>STR-C: stripper / regenerator (45 ft dia x 207 ft)</t>
        </is>
      </c>
      <c r="G3537" s="12" t="inlineStr">
        <is>
          <t>JB-STR-C-AI03</t>
        </is>
      </c>
      <c r="H3537" s="12" t="inlineStr">
        <is>
          <t>STR-C: stripper / regenerator (45 ft dia x 207 ft)</t>
        </is>
      </c>
      <c r="I3537" s="12" t="inlineStr">
        <is>
          <t>Instrumentation</t>
        </is>
      </c>
      <c r="J3537" s="12" t="inlineStr">
        <is>
          <t>Instrumentation PLTC / TC-ER 300 V, #18 twisted shielded pairs, overall shield</t>
        </is>
      </c>
      <c r="K3537" s="12" t="inlineStr">
        <is>
          <t>PLTC|1 pr|16</t>
        </is>
      </c>
      <c r="L3537" s="12" t="inlineStr">
        <is>
          <t>1 pr</t>
        </is>
      </c>
      <c r="M3537" s="12" t="inlineStr">
        <is>
          <t>16</t>
        </is>
      </c>
      <c r="N3537" s="12" t="n">
        <v>10</v>
      </c>
      <c r="O3537" s="12" t="n">
        <v>1</v>
      </c>
      <c r="P3537" s="12" t="n"/>
      <c r="Q3537" s="12" t="n"/>
      <c r="R3537" s="12" t="n"/>
      <c r="S3537" s="12" t="inlineStr">
        <is>
          <t>Tray / conduit</t>
        </is>
      </c>
      <c r="T3537" s="15" t="n">
        <v>153</v>
      </c>
      <c r="U3537" s="15" t="n">
        <v>10</v>
      </c>
      <c r="V3537" s="15">
        <f>ROUNDUP((T3537+U3537+2*'Read Me'!$B$13)*(1+'Read Me'!$B$12),-1)</f>
        <v/>
      </c>
      <c r="W3537" s="15">
        <f>V3537*N3537*O3537</f>
        <v/>
      </c>
      <c r="X3537" s="12">
        <f>IF(LEFT(I3537,2)="MV",2*N3537*IF(L3537="1/C",O3537,1),0)</f>
        <v/>
      </c>
      <c r="Y3537" s="12">
        <f>IF(OR(LEFT(K3537,4)="LVAX",LEFT(K3537,6)="MV15AX",LEFT(K3537,4)="CTAX",LEFT(K3537,2)="W|"),2*N3537*O3537,0)</f>
        <v/>
      </c>
      <c r="Z3537" s="12" t="inlineStr">
        <is>
          <t>device-to-JB field wiring, one cable per device</t>
        </is>
      </c>
      <c r="AA3537" s="12">
        <f>N3537*O3537</f>
        <v/>
      </c>
    </row>
    <row r="3538">
      <c r="A3538" s="12" t="inlineStr">
        <is>
          <t>G-I-0264</t>
        </is>
      </c>
      <c r="B3538" s="12" t="inlineStr">
        <is>
          <t>G</t>
        </is>
      </c>
      <c r="C3538" s="12" t="inlineStr">
        <is>
          <t>Carbon capture</t>
        </is>
      </c>
      <c r="D3538" s="12" t="inlineStr">
        <is>
          <t>Home run JB-STR-C-AI03 to the control / marshalling room</t>
        </is>
      </c>
      <c r="E3538" s="12" t="inlineStr"/>
      <c r="F3538" s="12" t="inlineStr">
        <is>
          <t>CCS F&amp;G / control</t>
        </is>
      </c>
      <c r="G3538" s="12" t="inlineStr">
        <is>
          <t>JB-STR-C-AI03</t>
        </is>
      </c>
      <c r="H3538" s="12" t="inlineStr">
        <is>
          <t>STR-C: stripper / regenerator (45 ft dia x 207 ft)</t>
        </is>
      </c>
      <c r="I3538" s="12" t="inlineStr">
        <is>
          <t>Instrumentation</t>
        </is>
      </c>
      <c r="J3538" s="12" t="inlineStr">
        <is>
          <t>Instrumentation PLTC / TC-ER 300 V, #18 twisted shielded pairs, overall shield</t>
        </is>
      </c>
      <c r="K3538" s="12" t="inlineStr">
        <is>
          <t>PLTC|24 pr|18</t>
        </is>
      </c>
      <c r="L3538" s="12" t="inlineStr">
        <is>
          <t>24 pr</t>
        </is>
      </c>
      <c r="M3538" s="12" t="inlineStr">
        <is>
          <t>18</t>
        </is>
      </c>
      <c r="N3538" s="12" t="n">
        <v>1</v>
      </c>
      <c r="O3538" s="12" t="n">
        <v>1</v>
      </c>
      <c r="P3538" s="12" t="n"/>
      <c r="Q3538" s="12" t="n"/>
      <c r="R3538" s="12" t="n"/>
      <c r="S3538" s="12" t="inlineStr">
        <is>
          <t>Duct bank</t>
        </is>
      </c>
      <c r="T3538" s="15" t="n">
        <v>195</v>
      </c>
      <c r="U3538" s="15" t="n">
        <v>162</v>
      </c>
      <c r="V3538" s="15">
        <f>ROUNDUP((T3538+U3538+2*'Read Me'!$B$13)*(1+'Read Me'!$B$12),-1)</f>
        <v/>
      </c>
      <c r="W3538" s="15">
        <f>V3538*N3538*O3538</f>
        <v/>
      </c>
      <c r="X3538" s="12">
        <f>IF(LEFT(I3538,2)="MV",2*N3538*IF(L3538="1/C",O3538,1),0)</f>
        <v/>
      </c>
      <c r="Y3538" s="12">
        <f>IF(OR(LEFT(K3538,4)="LVAX",LEFT(K3538,6)="MV15AX",LEFT(K3538,4)="CTAX",LEFT(K3538,2)="W|"),2*N3538*O3538,0)</f>
        <v/>
      </c>
      <c r="Z3538" s="12" t="inlineStr"/>
      <c r="AA3538" s="12">
        <f>N3538*O3538</f>
        <v/>
      </c>
    </row>
    <row r="3539">
      <c r="A3539" s="12" t="inlineStr">
        <is>
          <t>G-I-0265</t>
        </is>
      </c>
      <c r="B3539" s="12" t="inlineStr">
        <is>
          <t>G</t>
        </is>
      </c>
      <c r="C3539" s="12" t="inlineStr">
        <is>
          <t>Carbon capture</t>
        </is>
      </c>
      <c r="D3539" s="12" t="inlineStr">
        <is>
          <t>Discrete device to JB JB-STR-C-DI01: 20 x 1 pr (field cables)</t>
        </is>
      </c>
      <c r="E3539" s="12" t="inlineStr">
        <is>
          <t>STR-C</t>
        </is>
      </c>
      <c r="F3539" s="12" t="inlineStr">
        <is>
          <t>STR-C: stripper / regenerator (45 ft dia x 207 ft)</t>
        </is>
      </c>
      <c r="G3539" s="12" t="inlineStr">
        <is>
          <t>JB-STR-C-DI01</t>
        </is>
      </c>
      <c r="H3539" s="12" t="inlineStr">
        <is>
          <t>STR-C: stripper / regenerator (45 ft dia x 207 ft)</t>
        </is>
      </c>
      <c r="I3539" s="12" t="inlineStr">
        <is>
          <t>Instrumentation</t>
        </is>
      </c>
      <c r="J3539" s="12" t="inlineStr">
        <is>
          <t>Instrumentation PLTC / TC-ER 300 V, #18 twisted shielded pairs, overall shield</t>
        </is>
      </c>
      <c r="K3539" s="12" t="inlineStr">
        <is>
          <t>PLTC|1 pr|16</t>
        </is>
      </c>
      <c r="L3539" s="12" t="inlineStr">
        <is>
          <t>1 pr</t>
        </is>
      </c>
      <c r="M3539" s="12" t="inlineStr">
        <is>
          <t>16</t>
        </is>
      </c>
      <c r="N3539" s="12" t="n">
        <v>20</v>
      </c>
      <c r="O3539" s="12" t="n">
        <v>1</v>
      </c>
      <c r="P3539" s="12" t="n"/>
      <c r="Q3539" s="12" t="n"/>
      <c r="R3539" s="12" t="n"/>
      <c r="S3539" s="12" t="inlineStr">
        <is>
          <t>Tray / conduit</t>
        </is>
      </c>
      <c r="T3539" s="15" t="n">
        <v>153</v>
      </c>
      <c r="U3539" s="15" t="n">
        <v>10</v>
      </c>
      <c r="V3539" s="15">
        <f>ROUNDUP((T3539+U3539+2*'Read Me'!$B$13)*(1+'Read Me'!$B$12),-1)</f>
        <v/>
      </c>
      <c r="W3539" s="15">
        <f>V3539*N3539*O3539</f>
        <v/>
      </c>
      <c r="X3539" s="12">
        <f>IF(LEFT(I3539,2)="MV",2*N3539*IF(L3539="1/C",O3539,1),0)</f>
        <v/>
      </c>
      <c r="Y3539" s="12">
        <f>IF(OR(LEFT(K3539,4)="LVAX",LEFT(K3539,6)="MV15AX",LEFT(K3539,4)="CTAX",LEFT(K3539,2)="W|"),2*N3539*O3539,0)</f>
        <v/>
      </c>
      <c r="Z3539" s="12" t="inlineStr">
        <is>
          <t>device-to-JB field wiring, one cable per device</t>
        </is>
      </c>
      <c r="AA3539" s="12">
        <f>N3539*O3539</f>
        <v/>
      </c>
    </row>
    <row r="3540">
      <c r="A3540" s="12" t="inlineStr">
        <is>
          <t>G-I-0266</t>
        </is>
      </c>
      <c r="B3540" s="12" t="inlineStr">
        <is>
          <t>G</t>
        </is>
      </c>
      <c r="C3540" s="12" t="inlineStr">
        <is>
          <t>Carbon capture</t>
        </is>
      </c>
      <c r="D3540" s="12" t="inlineStr">
        <is>
          <t>Home run JB-STR-C-DI01 to the control / marshalling room</t>
        </is>
      </c>
      <c r="E3540" s="12" t="inlineStr"/>
      <c r="F3540" s="12" t="inlineStr">
        <is>
          <t>CCS F&amp;G / control</t>
        </is>
      </c>
      <c r="G3540" s="12" t="inlineStr">
        <is>
          <t>JB-STR-C-DI01</t>
        </is>
      </c>
      <c r="H3540" s="12" t="inlineStr">
        <is>
          <t>STR-C: stripper / regenerator (45 ft dia x 207 ft)</t>
        </is>
      </c>
      <c r="I3540" s="12" t="inlineStr">
        <is>
          <t>Instrumentation</t>
        </is>
      </c>
      <c r="J3540" s="12" t="inlineStr">
        <is>
          <t>Instrumentation PLTC / TC-ER 300 V, #18 twisted shielded pairs, overall shield</t>
        </is>
      </c>
      <c r="K3540" s="12" t="inlineStr">
        <is>
          <t>PLTC|24 pr|18</t>
        </is>
      </c>
      <c r="L3540" s="12" t="inlineStr">
        <is>
          <t>24 pr</t>
        </is>
      </c>
      <c r="M3540" s="12" t="inlineStr">
        <is>
          <t>18</t>
        </is>
      </c>
      <c r="N3540" s="12" t="n">
        <v>1</v>
      </c>
      <c r="O3540" s="12" t="n">
        <v>1</v>
      </c>
      <c r="P3540" s="12" t="n"/>
      <c r="Q3540" s="12" t="n"/>
      <c r="R3540" s="12" t="n"/>
      <c r="S3540" s="12" t="inlineStr">
        <is>
          <t>Duct bank</t>
        </is>
      </c>
      <c r="T3540" s="15" t="n">
        <v>195</v>
      </c>
      <c r="U3540" s="15" t="n">
        <v>162</v>
      </c>
      <c r="V3540" s="15">
        <f>ROUNDUP((T3540+U3540+2*'Read Me'!$B$13)*(1+'Read Me'!$B$12),-1)</f>
        <v/>
      </c>
      <c r="W3540" s="15">
        <f>V3540*N3540*O3540</f>
        <v/>
      </c>
      <c r="X3540" s="12">
        <f>IF(LEFT(I3540,2)="MV",2*N3540*IF(L3540="1/C",O3540,1),0)</f>
        <v/>
      </c>
      <c r="Y3540" s="12">
        <f>IF(OR(LEFT(K3540,4)="LVAX",LEFT(K3540,6)="MV15AX",LEFT(K3540,4)="CTAX",LEFT(K3540,2)="W|"),2*N3540*O3540,0)</f>
        <v/>
      </c>
      <c r="Z3540" s="12" t="inlineStr"/>
      <c r="AA3540" s="12">
        <f>N3540*O3540</f>
        <v/>
      </c>
    </row>
    <row r="3541">
      <c r="A3541" s="12" t="inlineStr">
        <is>
          <t>G-I-0267</t>
        </is>
      </c>
      <c r="B3541" s="12" t="inlineStr">
        <is>
          <t>G</t>
        </is>
      </c>
      <c r="C3541" s="12" t="inlineStr">
        <is>
          <t>Carbon capture</t>
        </is>
      </c>
      <c r="D3541" s="12" t="inlineStr">
        <is>
          <t>Discrete device to JB JB-STR-C-DI02: 10 x 1 pr (field cables)</t>
        </is>
      </c>
      <c r="E3541" s="12" t="inlineStr">
        <is>
          <t>STR-C</t>
        </is>
      </c>
      <c r="F3541" s="12" t="inlineStr">
        <is>
          <t>STR-C: stripper / regenerator (45 ft dia x 207 ft)</t>
        </is>
      </c>
      <c r="G3541" s="12" t="inlineStr">
        <is>
          <t>JB-STR-C-DI02</t>
        </is>
      </c>
      <c r="H3541" s="12" t="inlineStr">
        <is>
          <t>STR-C: stripper / regenerator (45 ft dia x 207 ft)</t>
        </is>
      </c>
      <c r="I3541" s="12" t="inlineStr">
        <is>
          <t>Instrumentation</t>
        </is>
      </c>
      <c r="J3541" s="12" t="inlineStr">
        <is>
          <t>Instrumentation PLTC / TC-ER 300 V, #18 twisted shielded pairs, overall shield</t>
        </is>
      </c>
      <c r="K3541" s="12" t="inlineStr">
        <is>
          <t>PLTC|1 pr|16</t>
        </is>
      </c>
      <c r="L3541" s="12" t="inlineStr">
        <is>
          <t>1 pr</t>
        </is>
      </c>
      <c r="M3541" s="12" t="inlineStr">
        <is>
          <t>16</t>
        </is>
      </c>
      <c r="N3541" s="12" t="n">
        <v>10</v>
      </c>
      <c r="O3541" s="12" t="n">
        <v>1</v>
      </c>
      <c r="P3541" s="12" t="n"/>
      <c r="Q3541" s="12" t="n"/>
      <c r="R3541" s="12" t="n"/>
      <c r="S3541" s="12" t="inlineStr">
        <is>
          <t>Tray / conduit</t>
        </is>
      </c>
      <c r="T3541" s="15" t="n">
        <v>153</v>
      </c>
      <c r="U3541" s="15" t="n">
        <v>10</v>
      </c>
      <c r="V3541" s="15">
        <f>ROUNDUP((T3541+U3541+2*'Read Me'!$B$13)*(1+'Read Me'!$B$12),-1)</f>
        <v/>
      </c>
      <c r="W3541" s="15">
        <f>V3541*N3541*O3541</f>
        <v/>
      </c>
      <c r="X3541" s="12">
        <f>IF(LEFT(I3541,2)="MV",2*N3541*IF(L3541="1/C",O3541,1),0)</f>
        <v/>
      </c>
      <c r="Y3541" s="12">
        <f>IF(OR(LEFT(K3541,4)="LVAX",LEFT(K3541,6)="MV15AX",LEFT(K3541,4)="CTAX",LEFT(K3541,2)="W|"),2*N3541*O3541,0)</f>
        <v/>
      </c>
      <c r="Z3541" s="12" t="inlineStr">
        <is>
          <t>device-to-JB field wiring, one cable per device</t>
        </is>
      </c>
      <c r="AA3541" s="12">
        <f>N3541*O3541</f>
        <v/>
      </c>
    </row>
    <row r="3542">
      <c r="A3542" s="12" t="inlineStr">
        <is>
          <t>G-I-0268</t>
        </is>
      </c>
      <c r="B3542" s="12" t="inlineStr">
        <is>
          <t>G</t>
        </is>
      </c>
      <c r="C3542" s="12" t="inlineStr">
        <is>
          <t>Carbon capture</t>
        </is>
      </c>
      <c r="D3542" s="12" t="inlineStr">
        <is>
          <t>Home run JB-STR-C-DI02 to the control / marshalling room</t>
        </is>
      </c>
      <c r="E3542" s="12" t="inlineStr"/>
      <c r="F3542" s="12" t="inlineStr">
        <is>
          <t>CCS F&amp;G / control</t>
        </is>
      </c>
      <c r="G3542" s="12" t="inlineStr">
        <is>
          <t>JB-STR-C-DI02</t>
        </is>
      </c>
      <c r="H3542" s="12" t="inlineStr">
        <is>
          <t>STR-C: stripper / regenerator (45 ft dia x 207 ft)</t>
        </is>
      </c>
      <c r="I3542" s="12" t="inlineStr">
        <is>
          <t>Instrumentation</t>
        </is>
      </c>
      <c r="J3542" s="12" t="inlineStr">
        <is>
          <t>Instrumentation PLTC / TC-ER 300 V, #18 twisted shielded pairs, overall shield</t>
        </is>
      </c>
      <c r="K3542" s="12" t="inlineStr">
        <is>
          <t>PLTC|24 pr|18</t>
        </is>
      </c>
      <c r="L3542" s="12" t="inlineStr">
        <is>
          <t>24 pr</t>
        </is>
      </c>
      <c r="M3542" s="12" t="inlineStr">
        <is>
          <t>18</t>
        </is>
      </c>
      <c r="N3542" s="12" t="n">
        <v>1</v>
      </c>
      <c r="O3542" s="12" t="n">
        <v>1</v>
      </c>
      <c r="P3542" s="12" t="n"/>
      <c r="Q3542" s="12" t="n"/>
      <c r="R3542" s="12" t="n"/>
      <c r="S3542" s="12" t="inlineStr">
        <is>
          <t>Duct bank</t>
        </is>
      </c>
      <c r="T3542" s="15" t="n">
        <v>195</v>
      </c>
      <c r="U3542" s="15" t="n">
        <v>162</v>
      </c>
      <c r="V3542" s="15">
        <f>ROUNDUP((T3542+U3542+2*'Read Me'!$B$13)*(1+'Read Me'!$B$12),-1)</f>
        <v/>
      </c>
      <c r="W3542" s="15">
        <f>V3542*N3542*O3542</f>
        <v/>
      </c>
      <c r="X3542" s="12">
        <f>IF(LEFT(I3542,2)="MV",2*N3542*IF(L3542="1/C",O3542,1),0)</f>
        <v/>
      </c>
      <c r="Y3542" s="12">
        <f>IF(OR(LEFT(K3542,4)="LVAX",LEFT(K3542,6)="MV15AX",LEFT(K3542,4)="CTAX",LEFT(K3542,2)="W|"),2*N3542*O3542,0)</f>
        <v/>
      </c>
      <c r="Z3542" s="12" t="inlineStr"/>
      <c r="AA3542" s="12">
        <f>N3542*O3542</f>
        <v/>
      </c>
    </row>
    <row r="3543">
      <c r="A3543" s="12" t="inlineStr">
        <is>
          <t>G-I-0269</t>
        </is>
      </c>
      <c r="B3543" s="12" t="inlineStr">
        <is>
          <t>G</t>
        </is>
      </c>
      <c r="C3543" s="12" t="inlineStr">
        <is>
          <t>Carbon capture</t>
        </is>
      </c>
      <c r="D3543" s="12" t="inlineStr">
        <is>
          <t>Analog instrument to JB JB-Solvent + NaOH sto-AI01: 10 x 1 pr (field cables)</t>
        </is>
      </c>
      <c r="E3543" s="12" t="inlineStr"/>
      <c r="F3543" s="12" t="inlineStr">
        <is>
          <t>Solvent + NaOH storage</t>
        </is>
      </c>
      <c r="G3543" s="12" t="inlineStr">
        <is>
          <t>JB-Solvent + NaOH sto-AI01</t>
        </is>
      </c>
      <c r="H3543" s="12" t="inlineStr">
        <is>
          <t>Solvent + NaOH storage</t>
        </is>
      </c>
      <c r="I3543" s="12" t="inlineStr">
        <is>
          <t>Instrumentation</t>
        </is>
      </c>
      <c r="J3543" s="12" t="inlineStr">
        <is>
          <t>Instrumentation PLTC / TC-ER 300 V, #18 twisted shielded pairs, overall shield</t>
        </is>
      </c>
      <c r="K3543" s="12" t="inlineStr">
        <is>
          <t>PLTC|1 pr|16</t>
        </is>
      </c>
      <c r="L3543" s="12" t="inlineStr">
        <is>
          <t>1 pr</t>
        </is>
      </c>
      <c r="M3543" s="12" t="inlineStr">
        <is>
          <t>16</t>
        </is>
      </c>
      <c r="N3543" s="12" t="n">
        <v>10</v>
      </c>
      <c r="O3543" s="12" t="n">
        <v>1</v>
      </c>
      <c r="P3543" s="12" t="n"/>
      <c r="Q3543" s="12" t="n"/>
      <c r="R3543" s="12" t="n"/>
      <c r="S3543" s="12" t="inlineStr">
        <is>
          <t>Tray / conduit</t>
        </is>
      </c>
      <c r="T3543" s="15" t="n">
        <v>113</v>
      </c>
      <c r="U3543" s="15" t="n">
        <v>10</v>
      </c>
      <c r="V3543" s="15">
        <f>ROUNDUP((T3543+U3543+2*'Read Me'!$B$13)*(1+'Read Me'!$B$12),-1)</f>
        <v/>
      </c>
      <c r="W3543" s="15">
        <f>V3543*N3543*O3543</f>
        <v/>
      </c>
      <c r="X3543" s="12">
        <f>IF(LEFT(I3543,2)="MV",2*N3543*IF(L3543="1/C",O3543,1),0)</f>
        <v/>
      </c>
      <c r="Y3543" s="12">
        <f>IF(OR(LEFT(K3543,4)="LVAX",LEFT(K3543,6)="MV15AX",LEFT(K3543,4)="CTAX",LEFT(K3543,2)="W|"),2*N3543*O3543,0)</f>
        <v/>
      </c>
      <c r="Z3543" s="12" t="inlineStr">
        <is>
          <t>device-to-JB field wiring, one cable per device</t>
        </is>
      </c>
      <c r="AA3543" s="12">
        <f>N3543*O3543</f>
        <v/>
      </c>
    </row>
    <row r="3544">
      <c r="A3544" s="12" t="inlineStr">
        <is>
          <t>G-I-0270</t>
        </is>
      </c>
      <c r="B3544" s="12" t="inlineStr">
        <is>
          <t>G</t>
        </is>
      </c>
      <c r="C3544" s="12" t="inlineStr">
        <is>
          <t>Carbon capture</t>
        </is>
      </c>
      <c r="D3544" s="12" t="inlineStr">
        <is>
          <t>Home run JB-Solvent + NaOH sto-AI01 to the control / marshalling room</t>
        </is>
      </c>
      <c r="E3544" s="12" t="inlineStr"/>
      <c r="F3544" s="12" t="inlineStr">
        <is>
          <t>CCS F&amp;G / control</t>
        </is>
      </c>
      <c r="G3544" s="12" t="inlineStr">
        <is>
          <t>JB-Solvent + NaOH sto-AI01</t>
        </is>
      </c>
      <c r="H3544" s="12" t="inlineStr">
        <is>
          <t>Solvent + NaOH storage</t>
        </is>
      </c>
      <c r="I3544" s="12" t="inlineStr">
        <is>
          <t>Instrumentation</t>
        </is>
      </c>
      <c r="J3544" s="12" t="inlineStr">
        <is>
          <t>Instrumentation PLTC / TC-ER 300 V, #18 twisted shielded pairs, overall shield</t>
        </is>
      </c>
      <c r="K3544" s="12" t="inlineStr">
        <is>
          <t>PLTC|24 pr|18</t>
        </is>
      </c>
      <c r="L3544" s="12" t="inlineStr">
        <is>
          <t>24 pr</t>
        </is>
      </c>
      <c r="M3544" s="12" t="inlineStr">
        <is>
          <t>18</t>
        </is>
      </c>
      <c r="N3544" s="12" t="n">
        <v>1</v>
      </c>
      <c r="O3544" s="12" t="n">
        <v>1</v>
      </c>
      <c r="P3544" s="12" t="n"/>
      <c r="Q3544" s="12" t="n"/>
      <c r="R3544" s="12" t="n"/>
      <c r="S3544" s="12" t="inlineStr">
        <is>
          <t>Duct bank</t>
        </is>
      </c>
      <c r="T3544" s="15" t="n">
        <v>146</v>
      </c>
      <c r="U3544" s="15" t="n">
        <v>106</v>
      </c>
      <c r="V3544" s="15">
        <f>ROUNDUP((T3544+U3544+2*'Read Me'!$B$13)*(1+'Read Me'!$B$12),-1)</f>
        <v/>
      </c>
      <c r="W3544" s="15">
        <f>V3544*N3544*O3544</f>
        <v/>
      </c>
      <c r="X3544" s="12">
        <f>IF(LEFT(I3544,2)="MV",2*N3544*IF(L3544="1/C",O3544,1),0)</f>
        <v/>
      </c>
      <c r="Y3544" s="12">
        <f>IF(OR(LEFT(K3544,4)="LVAX",LEFT(K3544,6)="MV15AX",LEFT(K3544,4)="CTAX",LEFT(K3544,2)="W|"),2*N3544*O3544,0)</f>
        <v/>
      </c>
      <c r="Z3544" s="12" t="inlineStr"/>
      <c r="AA3544" s="12">
        <f>N3544*O3544</f>
        <v/>
      </c>
    </row>
    <row r="3545">
      <c r="A3545" s="12" t="inlineStr">
        <is>
          <t>G-I-0271</t>
        </is>
      </c>
      <c r="B3545" s="12" t="inlineStr">
        <is>
          <t>G</t>
        </is>
      </c>
      <c r="C3545" s="12" t="inlineStr">
        <is>
          <t>Carbon capture</t>
        </is>
      </c>
      <c r="D3545" s="12" t="inlineStr">
        <is>
          <t>Discrete device to JB JB-Solvent + NaOH sto-DI01: 10 x 1 pr (field cables)</t>
        </is>
      </c>
      <c r="E3545" s="12" t="inlineStr"/>
      <c r="F3545" s="12" t="inlineStr">
        <is>
          <t>Solvent + NaOH storage</t>
        </is>
      </c>
      <c r="G3545" s="12" t="inlineStr">
        <is>
          <t>JB-Solvent + NaOH sto-DI01</t>
        </is>
      </c>
      <c r="H3545" s="12" t="inlineStr">
        <is>
          <t>Solvent + NaOH storage</t>
        </is>
      </c>
      <c r="I3545" s="12" t="inlineStr">
        <is>
          <t>Instrumentation</t>
        </is>
      </c>
      <c r="J3545" s="12" t="inlineStr">
        <is>
          <t>Instrumentation PLTC / TC-ER 300 V, #18 twisted shielded pairs, overall shield</t>
        </is>
      </c>
      <c r="K3545" s="12" t="inlineStr">
        <is>
          <t>PLTC|1 pr|16</t>
        </is>
      </c>
      <c r="L3545" s="12" t="inlineStr">
        <is>
          <t>1 pr</t>
        </is>
      </c>
      <c r="M3545" s="12" t="inlineStr">
        <is>
          <t>16</t>
        </is>
      </c>
      <c r="N3545" s="12" t="n">
        <v>10</v>
      </c>
      <c r="O3545" s="12" t="n">
        <v>1</v>
      </c>
      <c r="P3545" s="12" t="n"/>
      <c r="Q3545" s="12" t="n"/>
      <c r="R3545" s="12" t="n"/>
      <c r="S3545" s="12" t="inlineStr">
        <is>
          <t>Tray / conduit</t>
        </is>
      </c>
      <c r="T3545" s="15" t="n">
        <v>113</v>
      </c>
      <c r="U3545" s="15" t="n">
        <v>10</v>
      </c>
      <c r="V3545" s="15">
        <f>ROUNDUP((T3545+U3545+2*'Read Me'!$B$13)*(1+'Read Me'!$B$12),-1)</f>
        <v/>
      </c>
      <c r="W3545" s="15">
        <f>V3545*N3545*O3545</f>
        <v/>
      </c>
      <c r="X3545" s="12">
        <f>IF(LEFT(I3545,2)="MV",2*N3545*IF(L3545="1/C",O3545,1),0)</f>
        <v/>
      </c>
      <c r="Y3545" s="12">
        <f>IF(OR(LEFT(K3545,4)="LVAX",LEFT(K3545,6)="MV15AX",LEFT(K3545,4)="CTAX",LEFT(K3545,2)="W|"),2*N3545*O3545,0)</f>
        <v/>
      </c>
      <c r="Z3545" s="12" t="inlineStr">
        <is>
          <t>device-to-JB field wiring, one cable per device</t>
        </is>
      </c>
      <c r="AA3545" s="12">
        <f>N3545*O3545</f>
        <v/>
      </c>
    </row>
    <row r="3546">
      <c r="A3546" s="12" t="inlineStr">
        <is>
          <t>G-I-0272</t>
        </is>
      </c>
      <c r="B3546" s="12" t="inlineStr">
        <is>
          <t>G</t>
        </is>
      </c>
      <c r="C3546" s="12" t="inlineStr">
        <is>
          <t>Carbon capture</t>
        </is>
      </c>
      <c r="D3546" s="12" t="inlineStr">
        <is>
          <t>Home run JB-Solvent + NaOH sto-DI01 to the control / marshalling room</t>
        </is>
      </c>
      <c r="E3546" s="12" t="inlineStr"/>
      <c r="F3546" s="12" t="inlineStr">
        <is>
          <t>CCS F&amp;G / control</t>
        </is>
      </c>
      <c r="G3546" s="12" t="inlineStr">
        <is>
          <t>JB-Solvent + NaOH sto-DI01</t>
        </is>
      </c>
      <c r="H3546" s="12" t="inlineStr">
        <is>
          <t>Solvent + NaOH storage</t>
        </is>
      </c>
      <c r="I3546" s="12" t="inlineStr">
        <is>
          <t>Instrumentation</t>
        </is>
      </c>
      <c r="J3546" s="12" t="inlineStr">
        <is>
          <t>Instrumentation PLTC / TC-ER 300 V, #18 twisted shielded pairs, overall shield</t>
        </is>
      </c>
      <c r="K3546" s="12" t="inlineStr">
        <is>
          <t>PLTC|24 pr|18</t>
        </is>
      </c>
      <c r="L3546" s="12" t="inlineStr">
        <is>
          <t>24 pr</t>
        </is>
      </c>
      <c r="M3546" s="12" t="inlineStr">
        <is>
          <t>18</t>
        </is>
      </c>
      <c r="N3546" s="12" t="n">
        <v>1</v>
      </c>
      <c r="O3546" s="12" t="n">
        <v>1</v>
      </c>
      <c r="P3546" s="12" t="n"/>
      <c r="Q3546" s="12" t="n"/>
      <c r="R3546" s="12" t="n"/>
      <c r="S3546" s="12" t="inlineStr">
        <is>
          <t>Duct bank</t>
        </is>
      </c>
      <c r="T3546" s="15" t="n">
        <v>146</v>
      </c>
      <c r="U3546" s="15" t="n">
        <v>106</v>
      </c>
      <c r="V3546" s="15">
        <f>ROUNDUP((T3546+U3546+2*'Read Me'!$B$13)*(1+'Read Me'!$B$12),-1)</f>
        <v/>
      </c>
      <c r="W3546" s="15">
        <f>V3546*N3546*O3546</f>
        <v/>
      </c>
      <c r="X3546" s="12">
        <f>IF(LEFT(I3546,2)="MV",2*N3546*IF(L3546="1/C",O3546,1),0)</f>
        <v/>
      </c>
      <c r="Y3546" s="12">
        <f>IF(OR(LEFT(K3546,4)="LVAX",LEFT(K3546,6)="MV15AX",LEFT(K3546,4)="CTAX",LEFT(K3546,2)="W|"),2*N3546*O3546,0)</f>
        <v/>
      </c>
      <c r="Z3546" s="12" t="inlineStr"/>
      <c r="AA3546" s="12">
        <f>N3546*O3546</f>
        <v/>
      </c>
    </row>
    <row r="3547">
      <c r="A3547" s="12" t="inlineStr">
        <is>
          <t>G-I-0273</t>
        </is>
      </c>
      <c r="B3547" s="12" t="inlineStr">
        <is>
          <t>G</t>
        </is>
      </c>
      <c r="C3547" s="12" t="inlineStr">
        <is>
          <t>Carbon capture</t>
        </is>
      </c>
      <c r="D3547" s="12" t="inlineStr">
        <is>
          <t>Analog instrument to JB JB-Water-wash pumps A-AI01: 8 x 1 pr (field cables)</t>
        </is>
      </c>
      <c r="E3547" s="12" t="inlineStr"/>
      <c r="F3547" s="12" t="inlineStr">
        <is>
          <t>Water-wash pumps A</t>
        </is>
      </c>
      <c r="G3547" s="12" t="inlineStr">
        <is>
          <t>JB-Water-wash pumps A-AI01</t>
        </is>
      </c>
      <c r="H3547" s="12" t="inlineStr">
        <is>
          <t>Water-wash pumps A</t>
        </is>
      </c>
      <c r="I3547" s="12" t="inlineStr">
        <is>
          <t>Instrumentation</t>
        </is>
      </c>
      <c r="J3547" s="12" t="inlineStr">
        <is>
          <t>Instrumentation PLTC / TC-ER 300 V, #18 twisted shielded pairs, overall shield</t>
        </is>
      </c>
      <c r="K3547" s="12" t="inlineStr">
        <is>
          <t>PLTC|1 pr|16</t>
        </is>
      </c>
      <c r="L3547" s="12" t="inlineStr">
        <is>
          <t>1 pr</t>
        </is>
      </c>
      <c r="M3547" s="12" t="inlineStr">
        <is>
          <t>16</t>
        </is>
      </c>
      <c r="N3547" s="12" t="n">
        <v>8</v>
      </c>
      <c r="O3547" s="12" t="n">
        <v>1</v>
      </c>
      <c r="P3547" s="12" t="n"/>
      <c r="Q3547" s="12" t="n"/>
      <c r="R3547" s="12" t="n"/>
      <c r="S3547" s="12" t="inlineStr">
        <is>
          <t>Tray / conduit</t>
        </is>
      </c>
      <c r="T3547" s="15" t="n">
        <v>66</v>
      </c>
      <c r="U3547" s="15" t="n">
        <v>10</v>
      </c>
      <c r="V3547" s="15">
        <f>ROUNDUP((T3547+U3547+2*'Read Me'!$B$13)*(1+'Read Me'!$B$12),-1)</f>
        <v/>
      </c>
      <c r="W3547" s="15">
        <f>V3547*N3547*O3547</f>
        <v/>
      </c>
      <c r="X3547" s="12">
        <f>IF(LEFT(I3547,2)="MV",2*N3547*IF(L3547="1/C",O3547,1),0)</f>
        <v/>
      </c>
      <c r="Y3547" s="12">
        <f>IF(OR(LEFT(K3547,4)="LVAX",LEFT(K3547,6)="MV15AX",LEFT(K3547,4)="CTAX",LEFT(K3547,2)="W|"),2*N3547*O3547,0)</f>
        <v/>
      </c>
      <c r="Z3547" s="12" t="inlineStr">
        <is>
          <t>device-to-JB field wiring, one cable per device</t>
        </is>
      </c>
      <c r="AA3547" s="12">
        <f>N3547*O3547</f>
        <v/>
      </c>
    </row>
    <row r="3548">
      <c r="A3548" s="12" t="inlineStr">
        <is>
          <t>G-I-0274</t>
        </is>
      </c>
      <c r="B3548" s="12" t="inlineStr">
        <is>
          <t>G</t>
        </is>
      </c>
      <c r="C3548" s="12" t="inlineStr">
        <is>
          <t>Carbon capture</t>
        </is>
      </c>
      <c r="D3548" s="12" t="inlineStr">
        <is>
          <t>Home run JB-Water-wash pumps A-AI01 to the control / marshalling room</t>
        </is>
      </c>
      <c r="E3548" s="12" t="inlineStr"/>
      <c r="F3548" s="12" t="inlineStr">
        <is>
          <t>CCS F&amp;G / control</t>
        </is>
      </c>
      <c r="G3548" s="12" t="inlineStr">
        <is>
          <t>JB-Water-wash pumps A-AI01</t>
        </is>
      </c>
      <c r="H3548" s="12" t="inlineStr">
        <is>
          <t>Water-wash pumps A</t>
        </is>
      </c>
      <c r="I3548" s="12" t="inlineStr">
        <is>
          <t>Instrumentation</t>
        </is>
      </c>
      <c r="J3548" s="12" t="inlineStr">
        <is>
          <t>Instrumentation PLTC / TC-ER 300 V, #18 twisted shielded pairs, overall shield</t>
        </is>
      </c>
      <c r="K3548" s="12" t="inlineStr">
        <is>
          <t>PLTC|24 pr|18</t>
        </is>
      </c>
      <c r="L3548" s="12" t="inlineStr">
        <is>
          <t>24 pr</t>
        </is>
      </c>
      <c r="M3548" s="12" t="inlineStr">
        <is>
          <t>18</t>
        </is>
      </c>
      <c r="N3548" s="12" t="n">
        <v>1</v>
      </c>
      <c r="O3548" s="12" t="n">
        <v>1</v>
      </c>
      <c r="P3548" s="12" t="n"/>
      <c r="Q3548" s="12" t="n"/>
      <c r="R3548" s="12" t="n"/>
      <c r="S3548" s="12" t="inlineStr">
        <is>
          <t>Tray</t>
        </is>
      </c>
      <c r="T3548" s="15" t="n">
        <v>834</v>
      </c>
      <c r="U3548" s="15" t="n">
        <v>165</v>
      </c>
      <c r="V3548" s="15">
        <f>ROUNDUP((T3548+U3548+2*'Read Me'!$B$13)*(1+'Read Me'!$B$12),-1)</f>
        <v/>
      </c>
      <c r="W3548" s="15">
        <f>V3548*N3548*O3548</f>
        <v/>
      </c>
      <c r="X3548" s="12">
        <f>IF(LEFT(I3548,2)="MV",2*N3548*IF(L3548="1/C",O3548,1),0)</f>
        <v/>
      </c>
      <c r="Y3548" s="12">
        <f>IF(OR(LEFT(K3548,4)="LVAX",LEFT(K3548,6)="MV15AX",LEFT(K3548,4)="CTAX",LEFT(K3548,2)="W|"),2*N3548*O3548,0)</f>
        <v/>
      </c>
      <c r="Z3548" s="12" t="inlineStr"/>
      <c r="AA3548" s="12">
        <f>N3548*O3548</f>
        <v/>
      </c>
    </row>
    <row r="3549">
      <c r="A3549" s="12" t="inlineStr">
        <is>
          <t>G-I-0275</t>
        </is>
      </c>
      <c r="B3549" s="12" t="inlineStr">
        <is>
          <t>G</t>
        </is>
      </c>
      <c r="C3549" s="12" t="inlineStr">
        <is>
          <t>Carbon capture</t>
        </is>
      </c>
      <c r="D3549" s="12" t="inlineStr">
        <is>
          <t>Discrete device to JB JB-Water-wash pumps A-DI01: 8 x 1 pr (field cables)</t>
        </is>
      </c>
      <c r="E3549" s="12" t="inlineStr"/>
      <c r="F3549" s="12" t="inlineStr">
        <is>
          <t>Water-wash pumps A</t>
        </is>
      </c>
      <c r="G3549" s="12" t="inlineStr">
        <is>
          <t>JB-Water-wash pumps A-DI01</t>
        </is>
      </c>
      <c r="H3549" s="12" t="inlineStr">
        <is>
          <t>Water-wash pumps A</t>
        </is>
      </c>
      <c r="I3549" s="12" t="inlineStr">
        <is>
          <t>Instrumentation</t>
        </is>
      </c>
      <c r="J3549" s="12" t="inlineStr">
        <is>
          <t>Instrumentation PLTC / TC-ER 300 V, #18 twisted shielded pairs, overall shield</t>
        </is>
      </c>
      <c r="K3549" s="12" t="inlineStr">
        <is>
          <t>PLTC|1 pr|16</t>
        </is>
      </c>
      <c r="L3549" s="12" t="inlineStr">
        <is>
          <t>1 pr</t>
        </is>
      </c>
      <c r="M3549" s="12" t="inlineStr">
        <is>
          <t>16</t>
        </is>
      </c>
      <c r="N3549" s="12" t="n">
        <v>8</v>
      </c>
      <c r="O3549" s="12" t="n">
        <v>1</v>
      </c>
      <c r="P3549" s="12" t="n"/>
      <c r="Q3549" s="12" t="n"/>
      <c r="R3549" s="12" t="n"/>
      <c r="S3549" s="12" t="inlineStr">
        <is>
          <t>Tray / conduit</t>
        </is>
      </c>
      <c r="T3549" s="15" t="n">
        <v>66</v>
      </c>
      <c r="U3549" s="15" t="n">
        <v>10</v>
      </c>
      <c r="V3549" s="15">
        <f>ROUNDUP((T3549+U3549+2*'Read Me'!$B$13)*(1+'Read Me'!$B$12),-1)</f>
        <v/>
      </c>
      <c r="W3549" s="15">
        <f>V3549*N3549*O3549</f>
        <v/>
      </c>
      <c r="X3549" s="12">
        <f>IF(LEFT(I3549,2)="MV",2*N3549*IF(L3549="1/C",O3549,1),0)</f>
        <v/>
      </c>
      <c r="Y3549" s="12">
        <f>IF(OR(LEFT(K3549,4)="LVAX",LEFT(K3549,6)="MV15AX",LEFT(K3549,4)="CTAX",LEFT(K3549,2)="W|"),2*N3549*O3549,0)</f>
        <v/>
      </c>
      <c r="Z3549" s="12" t="inlineStr">
        <is>
          <t>device-to-JB field wiring, one cable per device</t>
        </is>
      </c>
      <c r="AA3549" s="12">
        <f>N3549*O3549</f>
        <v/>
      </c>
    </row>
    <row r="3550">
      <c r="A3550" s="12" t="inlineStr">
        <is>
          <t>G-I-0276</t>
        </is>
      </c>
      <c r="B3550" s="12" t="inlineStr">
        <is>
          <t>G</t>
        </is>
      </c>
      <c r="C3550" s="12" t="inlineStr">
        <is>
          <t>Carbon capture</t>
        </is>
      </c>
      <c r="D3550" s="12" t="inlineStr">
        <is>
          <t>Home run JB-Water-wash pumps A-DI01 to the control / marshalling room</t>
        </is>
      </c>
      <c r="E3550" s="12" t="inlineStr"/>
      <c r="F3550" s="12" t="inlineStr">
        <is>
          <t>CCS F&amp;G / control</t>
        </is>
      </c>
      <c r="G3550" s="12" t="inlineStr">
        <is>
          <t>JB-Water-wash pumps A-DI01</t>
        </is>
      </c>
      <c r="H3550" s="12" t="inlineStr">
        <is>
          <t>Water-wash pumps A</t>
        </is>
      </c>
      <c r="I3550" s="12" t="inlineStr">
        <is>
          <t>Instrumentation</t>
        </is>
      </c>
      <c r="J3550" s="12" t="inlineStr">
        <is>
          <t>Instrumentation PLTC / TC-ER 300 V, #18 twisted shielded pairs, overall shield</t>
        </is>
      </c>
      <c r="K3550" s="12" t="inlineStr">
        <is>
          <t>PLTC|24 pr|18</t>
        </is>
      </c>
      <c r="L3550" s="12" t="inlineStr">
        <is>
          <t>24 pr</t>
        </is>
      </c>
      <c r="M3550" s="12" t="inlineStr">
        <is>
          <t>18</t>
        </is>
      </c>
      <c r="N3550" s="12" t="n">
        <v>1</v>
      </c>
      <c r="O3550" s="12" t="n">
        <v>1</v>
      </c>
      <c r="P3550" s="12" t="n"/>
      <c r="Q3550" s="12" t="n"/>
      <c r="R3550" s="12" t="n"/>
      <c r="S3550" s="12" t="inlineStr">
        <is>
          <t>Tray</t>
        </is>
      </c>
      <c r="T3550" s="15" t="n">
        <v>834</v>
      </c>
      <c r="U3550" s="15" t="n">
        <v>165</v>
      </c>
      <c r="V3550" s="15">
        <f>ROUNDUP((T3550+U3550+2*'Read Me'!$B$13)*(1+'Read Me'!$B$12),-1)</f>
        <v/>
      </c>
      <c r="W3550" s="15">
        <f>V3550*N3550*O3550</f>
        <v/>
      </c>
      <c r="X3550" s="12">
        <f>IF(LEFT(I3550,2)="MV",2*N3550*IF(L3550="1/C",O3550,1),0)</f>
        <v/>
      </c>
      <c r="Y3550" s="12">
        <f>IF(OR(LEFT(K3550,4)="LVAX",LEFT(K3550,6)="MV15AX",LEFT(K3550,4)="CTAX",LEFT(K3550,2)="W|"),2*N3550*O3550,0)</f>
        <v/>
      </c>
      <c r="Z3550" s="12" t="inlineStr"/>
      <c r="AA3550" s="12">
        <f>N3550*O3550</f>
        <v/>
      </c>
    </row>
    <row r="3551">
      <c r="A3551" s="12" t="inlineStr">
        <is>
          <t>G-I-0277</t>
        </is>
      </c>
      <c r="B3551" s="12" t="inlineStr">
        <is>
          <t>G</t>
        </is>
      </c>
      <c r="C3551" s="12" t="inlineStr">
        <is>
          <t>Carbon capture</t>
        </is>
      </c>
      <c r="D3551" s="12" t="inlineStr">
        <is>
          <t>Analog instrument to JB JB-Water-wash pumps B-AI01: 8 x 1 pr (field cables)</t>
        </is>
      </c>
      <c r="E3551" s="12" t="inlineStr"/>
      <c r="F3551" s="12" t="inlineStr">
        <is>
          <t>Water-wash pumps B</t>
        </is>
      </c>
      <c r="G3551" s="12" t="inlineStr">
        <is>
          <t>JB-Water-wash pumps B-AI01</t>
        </is>
      </c>
      <c r="H3551" s="12" t="inlineStr">
        <is>
          <t>Water-wash pumps B</t>
        </is>
      </c>
      <c r="I3551" s="12" t="inlineStr">
        <is>
          <t>Instrumentation</t>
        </is>
      </c>
      <c r="J3551" s="12" t="inlineStr">
        <is>
          <t>Instrumentation PLTC / TC-ER 300 V, #18 twisted shielded pairs, overall shield</t>
        </is>
      </c>
      <c r="K3551" s="12" t="inlineStr">
        <is>
          <t>PLTC|1 pr|16</t>
        </is>
      </c>
      <c r="L3551" s="12" t="inlineStr">
        <is>
          <t>1 pr</t>
        </is>
      </c>
      <c r="M3551" s="12" t="inlineStr">
        <is>
          <t>16</t>
        </is>
      </c>
      <c r="N3551" s="12" t="n">
        <v>8</v>
      </c>
      <c r="O3551" s="12" t="n">
        <v>1</v>
      </c>
      <c r="P3551" s="12" t="n"/>
      <c r="Q3551" s="12" t="n"/>
      <c r="R3551" s="12" t="n"/>
      <c r="S3551" s="12" t="inlineStr">
        <is>
          <t>Tray / conduit</t>
        </is>
      </c>
      <c r="T3551" s="15" t="n">
        <v>66</v>
      </c>
      <c r="U3551" s="15" t="n">
        <v>10</v>
      </c>
      <c r="V3551" s="15">
        <f>ROUNDUP((T3551+U3551+2*'Read Me'!$B$13)*(1+'Read Me'!$B$12),-1)</f>
        <v/>
      </c>
      <c r="W3551" s="15">
        <f>V3551*N3551*O3551</f>
        <v/>
      </c>
      <c r="X3551" s="12">
        <f>IF(LEFT(I3551,2)="MV",2*N3551*IF(L3551="1/C",O3551,1),0)</f>
        <v/>
      </c>
      <c r="Y3551" s="12">
        <f>IF(OR(LEFT(K3551,4)="LVAX",LEFT(K3551,6)="MV15AX",LEFT(K3551,4)="CTAX",LEFT(K3551,2)="W|"),2*N3551*O3551,0)</f>
        <v/>
      </c>
      <c r="Z3551" s="12" t="inlineStr">
        <is>
          <t>device-to-JB field wiring, one cable per device</t>
        </is>
      </c>
      <c r="AA3551" s="12">
        <f>N3551*O3551</f>
        <v/>
      </c>
    </row>
    <row r="3552">
      <c r="A3552" s="12" t="inlineStr">
        <is>
          <t>G-I-0278</t>
        </is>
      </c>
      <c r="B3552" s="12" t="inlineStr">
        <is>
          <t>G</t>
        </is>
      </c>
      <c r="C3552" s="12" t="inlineStr">
        <is>
          <t>Carbon capture</t>
        </is>
      </c>
      <c r="D3552" s="12" t="inlineStr">
        <is>
          <t>Home run JB-Water-wash pumps B-AI01 to the control / marshalling room</t>
        </is>
      </c>
      <c r="E3552" s="12" t="inlineStr"/>
      <c r="F3552" s="12" t="inlineStr">
        <is>
          <t>CCS F&amp;G / control</t>
        </is>
      </c>
      <c r="G3552" s="12" t="inlineStr">
        <is>
          <t>JB-Water-wash pumps B-AI01</t>
        </is>
      </c>
      <c r="H3552" s="12" t="inlineStr">
        <is>
          <t>Water-wash pumps B</t>
        </is>
      </c>
      <c r="I3552" s="12" t="inlineStr">
        <is>
          <t>Instrumentation</t>
        </is>
      </c>
      <c r="J3552" s="12" t="inlineStr">
        <is>
          <t>Instrumentation PLTC / TC-ER 300 V, #18 twisted shielded pairs, overall shield</t>
        </is>
      </c>
      <c r="K3552" s="12" t="inlineStr">
        <is>
          <t>PLTC|24 pr|18</t>
        </is>
      </c>
      <c r="L3552" s="12" t="inlineStr">
        <is>
          <t>24 pr</t>
        </is>
      </c>
      <c r="M3552" s="12" t="inlineStr">
        <is>
          <t>18</t>
        </is>
      </c>
      <c r="N3552" s="12" t="n">
        <v>1</v>
      </c>
      <c r="O3552" s="12" t="n">
        <v>1</v>
      </c>
      <c r="P3552" s="12" t="n"/>
      <c r="Q3552" s="12" t="n"/>
      <c r="R3552" s="12" t="n"/>
      <c r="S3552" s="12" t="inlineStr">
        <is>
          <t>Duct bank</t>
        </is>
      </c>
      <c r="T3552" s="15" t="n">
        <v>674</v>
      </c>
      <c r="U3552" s="15" t="n">
        <v>165</v>
      </c>
      <c r="V3552" s="15">
        <f>ROUNDUP((T3552+U3552+2*'Read Me'!$B$13)*(1+'Read Me'!$B$12),-1)</f>
        <v/>
      </c>
      <c r="W3552" s="15">
        <f>V3552*N3552*O3552</f>
        <v/>
      </c>
      <c r="X3552" s="12">
        <f>IF(LEFT(I3552,2)="MV",2*N3552*IF(L3552="1/C",O3552,1),0)</f>
        <v/>
      </c>
      <c r="Y3552" s="12">
        <f>IF(OR(LEFT(K3552,4)="LVAX",LEFT(K3552,6)="MV15AX",LEFT(K3552,4)="CTAX",LEFT(K3552,2)="W|"),2*N3552*O3552,0)</f>
        <v/>
      </c>
      <c r="Z3552" s="12" t="inlineStr"/>
      <c r="AA3552" s="12">
        <f>N3552*O3552</f>
        <v/>
      </c>
    </row>
    <row r="3553">
      <c r="A3553" s="12" t="inlineStr">
        <is>
          <t>G-I-0279</t>
        </is>
      </c>
      <c r="B3553" s="12" t="inlineStr">
        <is>
          <t>G</t>
        </is>
      </c>
      <c r="C3553" s="12" t="inlineStr">
        <is>
          <t>Carbon capture</t>
        </is>
      </c>
      <c r="D3553" s="12" t="inlineStr">
        <is>
          <t>Discrete device to JB JB-Water-wash pumps B-DI01: 8 x 1 pr (field cables)</t>
        </is>
      </c>
      <c r="E3553" s="12" t="inlineStr"/>
      <c r="F3553" s="12" t="inlineStr">
        <is>
          <t>Water-wash pumps B</t>
        </is>
      </c>
      <c r="G3553" s="12" t="inlineStr">
        <is>
          <t>JB-Water-wash pumps B-DI01</t>
        </is>
      </c>
      <c r="H3553" s="12" t="inlineStr">
        <is>
          <t>Water-wash pumps B</t>
        </is>
      </c>
      <c r="I3553" s="12" t="inlineStr">
        <is>
          <t>Instrumentation</t>
        </is>
      </c>
      <c r="J3553" s="12" t="inlineStr">
        <is>
          <t>Instrumentation PLTC / TC-ER 300 V, #18 twisted shielded pairs, overall shield</t>
        </is>
      </c>
      <c r="K3553" s="12" t="inlineStr">
        <is>
          <t>PLTC|1 pr|16</t>
        </is>
      </c>
      <c r="L3553" s="12" t="inlineStr">
        <is>
          <t>1 pr</t>
        </is>
      </c>
      <c r="M3553" s="12" t="inlineStr">
        <is>
          <t>16</t>
        </is>
      </c>
      <c r="N3553" s="12" t="n">
        <v>8</v>
      </c>
      <c r="O3553" s="12" t="n">
        <v>1</v>
      </c>
      <c r="P3553" s="12" t="n"/>
      <c r="Q3553" s="12" t="n"/>
      <c r="R3553" s="12" t="n"/>
      <c r="S3553" s="12" t="inlineStr">
        <is>
          <t>Tray / conduit</t>
        </is>
      </c>
      <c r="T3553" s="15" t="n">
        <v>66</v>
      </c>
      <c r="U3553" s="15" t="n">
        <v>10</v>
      </c>
      <c r="V3553" s="15">
        <f>ROUNDUP((T3553+U3553+2*'Read Me'!$B$13)*(1+'Read Me'!$B$12),-1)</f>
        <v/>
      </c>
      <c r="W3553" s="15">
        <f>V3553*N3553*O3553</f>
        <v/>
      </c>
      <c r="X3553" s="12">
        <f>IF(LEFT(I3553,2)="MV",2*N3553*IF(L3553="1/C",O3553,1),0)</f>
        <v/>
      </c>
      <c r="Y3553" s="12">
        <f>IF(OR(LEFT(K3553,4)="LVAX",LEFT(K3553,6)="MV15AX",LEFT(K3553,4)="CTAX",LEFT(K3553,2)="W|"),2*N3553*O3553,0)</f>
        <v/>
      </c>
      <c r="Z3553" s="12" t="inlineStr">
        <is>
          <t>device-to-JB field wiring, one cable per device</t>
        </is>
      </c>
      <c r="AA3553" s="12">
        <f>N3553*O3553</f>
        <v/>
      </c>
    </row>
    <row r="3554">
      <c r="A3554" s="12" t="inlineStr">
        <is>
          <t>G-I-0280</t>
        </is>
      </c>
      <c r="B3554" s="12" t="inlineStr">
        <is>
          <t>G</t>
        </is>
      </c>
      <c r="C3554" s="12" t="inlineStr">
        <is>
          <t>Carbon capture</t>
        </is>
      </c>
      <c r="D3554" s="12" t="inlineStr">
        <is>
          <t>Home run JB-Water-wash pumps B-DI01 to the control / marshalling room</t>
        </is>
      </c>
      <c r="E3554" s="12" t="inlineStr"/>
      <c r="F3554" s="12" t="inlineStr">
        <is>
          <t>CCS F&amp;G / control</t>
        </is>
      </c>
      <c r="G3554" s="12" t="inlineStr">
        <is>
          <t>JB-Water-wash pumps B-DI01</t>
        </is>
      </c>
      <c r="H3554" s="12" t="inlineStr">
        <is>
          <t>Water-wash pumps B</t>
        </is>
      </c>
      <c r="I3554" s="12" t="inlineStr">
        <is>
          <t>Instrumentation</t>
        </is>
      </c>
      <c r="J3554" s="12" t="inlineStr">
        <is>
          <t>Instrumentation PLTC / TC-ER 300 V, #18 twisted shielded pairs, overall shield</t>
        </is>
      </c>
      <c r="K3554" s="12" t="inlineStr">
        <is>
          <t>PLTC|24 pr|18</t>
        </is>
      </c>
      <c r="L3554" s="12" t="inlineStr">
        <is>
          <t>24 pr</t>
        </is>
      </c>
      <c r="M3554" s="12" t="inlineStr">
        <is>
          <t>18</t>
        </is>
      </c>
      <c r="N3554" s="12" t="n">
        <v>1</v>
      </c>
      <c r="O3554" s="12" t="n">
        <v>1</v>
      </c>
      <c r="P3554" s="12" t="n"/>
      <c r="Q3554" s="12" t="n"/>
      <c r="R3554" s="12" t="n"/>
      <c r="S3554" s="12" t="inlineStr">
        <is>
          <t>Duct bank</t>
        </is>
      </c>
      <c r="T3554" s="15" t="n">
        <v>674</v>
      </c>
      <c r="U3554" s="15" t="n">
        <v>165</v>
      </c>
      <c r="V3554" s="15">
        <f>ROUNDUP((T3554+U3554+2*'Read Me'!$B$13)*(1+'Read Me'!$B$12),-1)</f>
        <v/>
      </c>
      <c r="W3554" s="15">
        <f>V3554*N3554*O3554</f>
        <v/>
      </c>
      <c r="X3554" s="12">
        <f>IF(LEFT(I3554,2)="MV",2*N3554*IF(L3554="1/C",O3554,1),0)</f>
        <v/>
      </c>
      <c r="Y3554" s="12">
        <f>IF(OR(LEFT(K3554,4)="LVAX",LEFT(K3554,6)="MV15AX",LEFT(K3554,4)="CTAX",LEFT(K3554,2)="W|"),2*N3554*O3554,0)</f>
        <v/>
      </c>
      <c r="Z3554" s="12" t="inlineStr"/>
      <c r="AA3554" s="12">
        <f>N3554*O3554</f>
        <v/>
      </c>
    </row>
    <row r="3555">
      <c r="A3555" s="12" t="inlineStr">
        <is>
          <t>G-I-0281</t>
        </is>
      </c>
      <c r="B3555" s="12" t="inlineStr">
        <is>
          <t>G</t>
        </is>
      </c>
      <c r="C3555" s="12" t="inlineStr">
        <is>
          <t>Carbon capture</t>
        </is>
      </c>
      <c r="D3555" s="12" t="inlineStr">
        <is>
          <t>Analog instrument to JB JB-Water-wash pumps C-AI01: 8 x 1 pr (field cables)</t>
        </is>
      </c>
      <c r="E3555" s="12" t="inlineStr"/>
      <c r="F3555" s="12" t="inlineStr">
        <is>
          <t>Water-wash pumps C</t>
        </is>
      </c>
      <c r="G3555" s="12" t="inlineStr">
        <is>
          <t>JB-Water-wash pumps C-AI01</t>
        </is>
      </c>
      <c r="H3555" s="12" t="inlineStr">
        <is>
          <t>Water-wash pumps C</t>
        </is>
      </c>
      <c r="I3555" s="12" t="inlineStr">
        <is>
          <t>Instrumentation</t>
        </is>
      </c>
      <c r="J3555" s="12" t="inlineStr">
        <is>
          <t>Instrumentation PLTC / TC-ER 300 V, #18 twisted shielded pairs, overall shield</t>
        </is>
      </c>
      <c r="K3555" s="12" t="inlineStr">
        <is>
          <t>PLTC|1 pr|16</t>
        </is>
      </c>
      <c r="L3555" s="12" t="inlineStr">
        <is>
          <t>1 pr</t>
        </is>
      </c>
      <c r="M3555" s="12" t="inlineStr">
        <is>
          <t>16</t>
        </is>
      </c>
      <c r="N3555" s="12" t="n">
        <v>8</v>
      </c>
      <c r="O3555" s="12" t="n">
        <v>1</v>
      </c>
      <c r="P3555" s="12" t="n"/>
      <c r="Q3555" s="12" t="n"/>
      <c r="R3555" s="12" t="n"/>
      <c r="S3555" s="12" t="inlineStr">
        <is>
          <t>Tray / conduit</t>
        </is>
      </c>
      <c r="T3555" s="15" t="n">
        <v>66</v>
      </c>
      <c r="U3555" s="15" t="n">
        <v>10</v>
      </c>
      <c r="V3555" s="15">
        <f>ROUNDUP((T3555+U3555+2*'Read Me'!$B$13)*(1+'Read Me'!$B$12),-1)</f>
        <v/>
      </c>
      <c r="W3555" s="15">
        <f>V3555*N3555*O3555</f>
        <v/>
      </c>
      <c r="X3555" s="12">
        <f>IF(LEFT(I3555,2)="MV",2*N3555*IF(L3555="1/C",O3555,1),0)</f>
        <v/>
      </c>
      <c r="Y3555" s="12">
        <f>IF(OR(LEFT(K3555,4)="LVAX",LEFT(K3555,6)="MV15AX",LEFT(K3555,4)="CTAX",LEFT(K3555,2)="W|"),2*N3555*O3555,0)</f>
        <v/>
      </c>
      <c r="Z3555" s="12" t="inlineStr">
        <is>
          <t>device-to-JB field wiring, one cable per device</t>
        </is>
      </c>
      <c r="AA3555" s="12">
        <f>N3555*O3555</f>
        <v/>
      </c>
    </row>
    <row r="3556">
      <c r="A3556" s="12" t="inlineStr">
        <is>
          <t>G-I-0282</t>
        </is>
      </c>
      <c r="B3556" s="12" t="inlineStr">
        <is>
          <t>G</t>
        </is>
      </c>
      <c r="C3556" s="12" t="inlineStr">
        <is>
          <t>Carbon capture</t>
        </is>
      </c>
      <c r="D3556" s="12" t="inlineStr">
        <is>
          <t>Home run JB-Water-wash pumps C-AI01 to the control / marshalling room</t>
        </is>
      </c>
      <c r="E3556" s="12" t="inlineStr"/>
      <c r="F3556" s="12" t="inlineStr">
        <is>
          <t>CCS F&amp;G / control</t>
        </is>
      </c>
      <c r="G3556" s="12" t="inlineStr">
        <is>
          <t>JB-Water-wash pumps C-AI01</t>
        </is>
      </c>
      <c r="H3556" s="12" t="inlineStr">
        <is>
          <t>Water-wash pumps C</t>
        </is>
      </c>
      <c r="I3556" s="12" t="inlineStr">
        <is>
          <t>Instrumentation</t>
        </is>
      </c>
      <c r="J3556" s="12" t="inlineStr">
        <is>
          <t>Instrumentation PLTC / TC-ER 300 V, #18 twisted shielded pairs, overall shield</t>
        </is>
      </c>
      <c r="K3556" s="12" t="inlineStr">
        <is>
          <t>PLTC|24 pr|18</t>
        </is>
      </c>
      <c r="L3556" s="12" t="inlineStr">
        <is>
          <t>24 pr</t>
        </is>
      </c>
      <c r="M3556" s="12" t="inlineStr">
        <is>
          <t>18</t>
        </is>
      </c>
      <c r="N3556" s="12" t="n">
        <v>1</v>
      </c>
      <c r="O3556" s="12" t="n">
        <v>1</v>
      </c>
      <c r="P3556" s="12" t="n"/>
      <c r="Q3556" s="12" t="n"/>
      <c r="R3556" s="12" t="n"/>
      <c r="S3556" s="12" t="inlineStr">
        <is>
          <t>Duct bank</t>
        </is>
      </c>
      <c r="T3556" s="15" t="n">
        <v>514</v>
      </c>
      <c r="U3556" s="15" t="n">
        <v>165</v>
      </c>
      <c r="V3556" s="15">
        <f>ROUNDUP((T3556+U3556+2*'Read Me'!$B$13)*(1+'Read Me'!$B$12),-1)</f>
        <v/>
      </c>
      <c r="W3556" s="15">
        <f>V3556*N3556*O3556</f>
        <v/>
      </c>
      <c r="X3556" s="12">
        <f>IF(LEFT(I3556,2)="MV",2*N3556*IF(L3556="1/C",O3556,1),0)</f>
        <v/>
      </c>
      <c r="Y3556" s="12">
        <f>IF(OR(LEFT(K3556,4)="LVAX",LEFT(K3556,6)="MV15AX",LEFT(K3556,4)="CTAX",LEFT(K3556,2)="W|"),2*N3556*O3556,0)</f>
        <v/>
      </c>
      <c r="Z3556" s="12" t="inlineStr"/>
      <c r="AA3556" s="12">
        <f>N3556*O3556</f>
        <v/>
      </c>
    </row>
    <row r="3557">
      <c r="A3557" s="12" t="inlineStr">
        <is>
          <t>G-I-0283</t>
        </is>
      </c>
      <c r="B3557" s="12" t="inlineStr">
        <is>
          <t>G</t>
        </is>
      </c>
      <c r="C3557" s="12" t="inlineStr">
        <is>
          <t>Carbon capture</t>
        </is>
      </c>
      <c r="D3557" s="12" t="inlineStr">
        <is>
          <t>Discrete device to JB JB-Water-wash pumps C-DI01: 8 x 1 pr (field cables)</t>
        </is>
      </c>
      <c r="E3557" s="12" t="inlineStr"/>
      <c r="F3557" s="12" t="inlineStr">
        <is>
          <t>Water-wash pumps C</t>
        </is>
      </c>
      <c r="G3557" s="12" t="inlineStr">
        <is>
          <t>JB-Water-wash pumps C-DI01</t>
        </is>
      </c>
      <c r="H3557" s="12" t="inlineStr">
        <is>
          <t>Water-wash pumps C</t>
        </is>
      </c>
      <c r="I3557" s="12" t="inlineStr">
        <is>
          <t>Instrumentation</t>
        </is>
      </c>
      <c r="J3557" s="12" t="inlineStr">
        <is>
          <t>Instrumentation PLTC / TC-ER 300 V, #18 twisted shielded pairs, overall shield</t>
        </is>
      </c>
      <c r="K3557" s="12" t="inlineStr">
        <is>
          <t>PLTC|1 pr|16</t>
        </is>
      </c>
      <c r="L3557" s="12" t="inlineStr">
        <is>
          <t>1 pr</t>
        </is>
      </c>
      <c r="M3557" s="12" t="inlineStr">
        <is>
          <t>16</t>
        </is>
      </c>
      <c r="N3557" s="12" t="n">
        <v>8</v>
      </c>
      <c r="O3557" s="12" t="n">
        <v>1</v>
      </c>
      <c r="P3557" s="12" t="n"/>
      <c r="Q3557" s="12" t="n"/>
      <c r="R3557" s="12" t="n"/>
      <c r="S3557" s="12" t="inlineStr">
        <is>
          <t>Tray / conduit</t>
        </is>
      </c>
      <c r="T3557" s="15" t="n">
        <v>66</v>
      </c>
      <c r="U3557" s="15" t="n">
        <v>10</v>
      </c>
      <c r="V3557" s="15">
        <f>ROUNDUP((T3557+U3557+2*'Read Me'!$B$13)*(1+'Read Me'!$B$12),-1)</f>
        <v/>
      </c>
      <c r="W3557" s="15">
        <f>V3557*N3557*O3557</f>
        <v/>
      </c>
      <c r="X3557" s="12">
        <f>IF(LEFT(I3557,2)="MV",2*N3557*IF(L3557="1/C",O3557,1),0)</f>
        <v/>
      </c>
      <c r="Y3557" s="12">
        <f>IF(OR(LEFT(K3557,4)="LVAX",LEFT(K3557,6)="MV15AX",LEFT(K3557,4)="CTAX",LEFT(K3557,2)="W|"),2*N3557*O3557,0)</f>
        <v/>
      </c>
      <c r="Z3557" s="12" t="inlineStr">
        <is>
          <t>device-to-JB field wiring, one cable per device</t>
        </is>
      </c>
      <c r="AA3557" s="12">
        <f>N3557*O3557</f>
        <v/>
      </c>
    </row>
    <row r="3558">
      <c r="A3558" s="12" t="inlineStr">
        <is>
          <t>G-I-0284</t>
        </is>
      </c>
      <c r="B3558" s="12" t="inlineStr">
        <is>
          <t>G</t>
        </is>
      </c>
      <c r="C3558" s="12" t="inlineStr">
        <is>
          <t>Carbon capture</t>
        </is>
      </c>
      <c r="D3558" s="12" t="inlineStr">
        <is>
          <t>Home run JB-Water-wash pumps C-DI01 to the control / marshalling room</t>
        </is>
      </c>
      <c r="E3558" s="12" t="inlineStr"/>
      <c r="F3558" s="12" t="inlineStr">
        <is>
          <t>CCS F&amp;G / control</t>
        </is>
      </c>
      <c r="G3558" s="12" t="inlineStr">
        <is>
          <t>JB-Water-wash pumps C-DI01</t>
        </is>
      </c>
      <c r="H3558" s="12" t="inlineStr">
        <is>
          <t>Water-wash pumps C</t>
        </is>
      </c>
      <c r="I3558" s="12" t="inlineStr">
        <is>
          <t>Instrumentation</t>
        </is>
      </c>
      <c r="J3558" s="12" t="inlineStr">
        <is>
          <t>Instrumentation PLTC / TC-ER 300 V, #18 twisted shielded pairs, overall shield</t>
        </is>
      </c>
      <c r="K3558" s="12" t="inlineStr">
        <is>
          <t>PLTC|24 pr|18</t>
        </is>
      </c>
      <c r="L3558" s="12" t="inlineStr">
        <is>
          <t>24 pr</t>
        </is>
      </c>
      <c r="M3558" s="12" t="inlineStr">
        <is>
          <t>18</t>
        </is>
      </c>
      <c r="N3558" s="12" t="n">
        <v>1</v>
      </c>
      <c r="O3558" s="12" t="n">
        <v>1</v>
      </c>
      <c r="P3558" s="12" t="n"/>
      <c r="Q3558" s="12" t="n"/>
      <c r="R3558" s="12" t="n"/>
      <c r="S3558" s="12" t="inlineStr">
        <is>
          <t>Duct bank</t>
        </is>
      </c>
      <c r="T3558" s="15" t="n">
        <v>514</v>
      </c>
      <c r="U3558" s="15" t="n">
        <v>165</v>
      </c>
      <c r="V3558" s="15">
        <f>ROUNDUP((T3558+U3558+2*'Read Me'!$B$13)*(1+'Read Me'!$B$12),-1)</f>
        <v/>
      </c>
      <c r="W3558" s="15">
        <f>V3558*N3558*O3558</f>
        <v/>
      </c>
      <c r="X3558" s="12">
        <f>IF(LEFT(I3558,2)="MV",2*N3558*IF(L3558="1/C",O3558,1),0)</f>
        <v/>
      </c>
      <c r="Y3558" s="12">
        <f>IF(OR(LEFT(K3558,4)="LVAX",LEFT(K3558,6)="MV15AX",LEFT(K3558,4)="CTAX",LEFT(K3558,2)="W|"),2*N3558*O3558,0)</f>
        <v/>
      </c>
      <c r="Z3558" s="12" t="inlineStr"/>
      <c r="AA3558" s="12">
        <f>N3558*O3558</f>
        <v/>
      </c>
    </row>
    <row r="3559">
      <c r="A3559" s="12" t="inlineStr">
        <is>
          <t>G-P-0001</t>
        </is>
      </c>
      <c r="B3559" s="12" t="inlineStr">
        <is>
          <t>G</t>
        </is>
      </c>
      <c r="C3559" s="12" t="inlineStr">
        <is>
          <t>Carbon capture</t>
        </is>
      </c>
      <c r="D3559" s="12" t="inlineStr">
        <is>
          <t>MOV 1: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G-P-0002</t>
        </is>
      </c>
      <c r="B3560" s="12" t="inlineStr">
        <is>
          <t>G</t>
        </is>
      </c>
      <c r="C3560" s="12" t="inlineStr">
        <is>
          <t>Carbon capture</t>
        </is>
      </c>
      <c r="D3560" s="12" t="inlineStr">
        <is>
          <t>MOV 2: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G-P-0003</t>
        </is>
      </c>
      <c r="B3561" s="12" t="inlineStr">
        <is>
          <t>G</t>
        </is>
      </c>
      <c r="C3561" s="12" t="inlineStr">
        <is>
          <t>Carbon capture</t>
        </is>
      </c>
      <c r="D3561" s="12" t="inlineStr">
        <is>
          <t>MOV 3: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G-P-0004</t>
        </is>
      </c>
      <c r="B3562" s="12" t="inlineStr">
        <is>
          <t>G</t>
        </is>
      </c>
      <c r="C3562" s="12" t="inlineStr">
        <is>
          <t>Carbon capture</t>
        </is>
      </c>
      <c r="D3562" s="12" t="inlineStr">
        <is>
          <t>MOV 4: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G-P-0005</t>
        </is>
      </c>
      <c r="B3563" s="12" t="inlineStr">
        <is>
          <t>G</t>
        </is>
      </c>
      <c r="C3563" s="12" t="inlineStr">
        <is>
          <t>Carbon capture</t>
        </is>
      </c>
      <c r="D3563" s="12" t="inlineStr">
        <is>
          <t>MOV 5: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G-P-0006</t>
        </is>
      </c>
      <c r="B3564" s="12" t="inlineStr">
        <is>
          <t>G</t>
        </is>
      </c>
      <c r="C3564" s="12" t="inlineStr">
        <is>
          <t>Carbon capture</t>
        </is>
      </c>
      <c r="D3564" s="12" t="inlineStr">
        <is>
          <t>MOV 6: power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2.5</v>
      </c>
      <c r="R3564" s="12" t="n">
        <v>3.5</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1.1 %</t>
        </is>
      </c>
      <c r="AA3564" s="12">
        <f>N3564*O3564</f>
        <v/>
      </c>
    </row>
    <row r="3565">
      <c r="A3565" s="12" t="inlineStr">
        <is>
          <t>G-P-0007</t>
        </is>
      </c>
      <c r="B3565" s="12" t="inlineStr">
        <is>
          <t>G</t>
        </is>
      </c>
      <c r="C3565" s="12" t="inlineStr">
        <is>
          <t>Carbon capture</t>
        </is>
      </c>
      <c r="D3565" s="12" t="inlineStr">
        <is>
          <t>MOV 7: power</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2.5</v>
      </c>
      <c r="R3565" s="12" t="n">
        <v>3.5</v>
      </c>
      <c r="S3565" s="12" t="inlineStr">
        <is>
          <t>Tray</t>
        </is>
      </c>
      <c r="T3565" s="15" t="n">
        <v>570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VD 1.1 %</t>
        </is>
      </c>
      <c r="AA3565" s="12">
        <f>N3565*O3565</f>
        <v/>
      </c>
    </row>
    <row r="3566">
      <c r="A3566" s="12" t="inlineStr">
        <is>
          <t>G-P-0008</t>
        </is>
      </c>
      <c r="B3566" s="12" t="inlineStr">
        <is>
          <t>G</t>
        </is>
      </c>
      <c r="C3566" s="12" t="inlineStr">
        <is>
          <t>Carbon capture</t>
        </is>
      </c>
      <c r="D3566" s="12" t="inlineStr">
        <is>
          <t>MOV 8: power</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5" t="n">
        <v>570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G-P-0009</t>
        </is>
      </c>
      <c r="B3567" s="12" t="inlineStr">
        <is>
          <t>G</t>
        </is>
      </c>
      <c r="C3567" s="12" t="inlineStr">
        <is>
          <t>Carbon capture</t>
        </is>
      </c>
      <c r="D3567" s="12" t="inlineStr">
        <is>
          <t>MOV 9: power</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5" t="n">
        <v>570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G-P-0010</t>
        </is>
      </c>
      <c r="B3568" s="12" t="inlineStr">
        <is>
          <t>G</t>
        </is>
      </c>
      <c r="C3568" s="12" t="inlineStr">
        <is>
          <t>Carbon capture</t>
        </is>
      </c>
      <c r="D3568" s="12" t="inlineStr">
        <is>
          <t>MOV 10: power</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1.1 %</t>
        </is>
      </c>
      <c r="AA3568" s="12">
        <f>N3568*O3568</f>
        <v/>
      </c>
    </row>
    <row r="3569">
      <c r="A3569" s="12" t="inlineStr">
        <is>
          <t>G-P-0011</t>
        </is>
      </c>
      <c r="B3569" s="12" t="inlineStr">
        <is>
          <t>G</t>
        </is>
      </c>
      <c r="C3569" s="12" t="inlineStr">
        <is>
          <t>Carbon capture</t>
        </is>
      </c>
      <c r="D3569" s="12" t="inlineStr">
        <is>
          <t>LV power feeder</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40</v>
      </c>
      <c r="R3569" s="12" t="n">
        <v>56.6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2.8 %</t>
        </is>
      </c>
      <c r="AA3569" s="12">
        <f>N3569*O3569</f>
        <v/>
      </c>
    </row>
    <row r="3570">
      <c r="A3570" s="12" t="inlineStr">
        <is>
          <t>G-P-0012</t>
        </is>
      </c>
      <c r="B3570" s="12" t="inlineStr">
        <is>
          <t>G</t>
        </is>
      </c>
      <c r="C3570" s="12" t="inlineStr">
        <is>
          <t>Carbon capture</t>
        </is>
      </c>
      <c r="D3570" s="12" t="inlineStr">
        <is>
          <t>Area / platform lighting circuit 1 (12 fixtures)</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3</v>
      </c>
      <c r="R3570" s="12" t="n">
        <v>5</v>
      </c>
      <c r="S3570" s="12" t="inlineStr">
        <is>
          <t>Tray</t>
        </is>
      </c>
      <c r="T3570" s="15" t="n">
        <v>870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fixture-to-fixture run included</t>
        </is>
      </c>
      <c r="AA3570" s="12">
        <f>N3570*O3570</f>
        <v/>
      </c>
    </row>
    <row r="3571">
      <c r="A3571" s="12" t="inlineStr">
        <is>
          <t>G-P-0013</t>
        </is>
      </c>
      <c r="B3571" s="12" t="inlineStr">
        <is>
          <t>G</t>
        </is>
      </c>
      <c r="C3571" s="12" t="inlineStr">
        <is>
          <t>Carbon capture</t>
        </is>
      </c>
      <c r="D3571" s="12" t="inlineStr">
        <is>
          <t>Area / platform lighting circuit 2 (12 fixtures)</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3</v>
      </c>
      <c r="R3571" s="12" t="n">
        <v>5</v>
      </c>
      <c r="S3571" s="12" t="inlineStr">
        <is>
          <t>Tray</t>
        </is>
      </c>
      <c r="T3571" s="15" t="n">
        <v>870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fixture-to-fixture run included</t>
        </is>
      </c>
      <c r="AA3571" s="12">
        <f>N3571*O3571</f>
        <v/>
      </c>
    </row>
    <row r="3572">
      <c r="A3572" s="12" t="inlineStr">
        <is>
          <t>G-P-0014</t>
        </is>
      </c>
      <c r="B3572" s="12" t="inlineStr">
        <is>
          <t>G</t>
        </is>
      </c>
      <c r="C3572" s="12" t="inlineStr">
        <is>
          <t>Carbon capture</t>
        </is>
      </c>
      <c r="D3572" s="12" t="inlineStr">
        <is>
          <t>Area / platform lighting circuit 3 (6 fixtures)</t>
        </is>
      </c>
      <c r="E3572" s="12" t="inlineStr"/>
      <c r="F3572" s="12" t="inlineStr">
        <is>
          <t>CCS MV switchgear building (VFDs)</t>
        </is>
      </c>
      <c r="G3572" s="12" t="inlineStr">
        <is>
          <t>ABS-A</t>
        </is>
      </c>
      <c r="H3572" s="12" t="inlineStr">
        <is>
          <t>Absorber A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3</v>
      </c>
      <c r="R3572" s="12" t="n">
        <v>5</v>
      </c>
      <c r="S3572" s="12" t="inlineStr">
        <is>
          <t>Tray</t>
        </is>
      </c>
      <c r="T3572" s="15" t="n">
        <v>870</v>
      </c>
      <c r="U3572" s="15" t="n">
        <v>80</v>
      </c>
      <c r="V3572" s="15">
        <f>ROUNDUP((T3572+U3572+2*'Read Me'!$B$13)*(1+'Read Me'!$B$12),-1)</f>
        <v/>
      </c>
      <c r="W3572" s="15">
        <f>V3572*N3572*O3572</f>
        <v/>
      </c>
      <c r="X3572" s="12">
        <f>IF(LEFT(I3572,2)="MV",2*N3572*IF(L3572="1/C",O3572,1),0)</f>
        <v/>
      </c>
      <c r="Y3572" s="12">
        <f>IF(OR(LEFT(K3572,4)="LVAX",LEFT(K3572,6)="MV15AX",LEFT(K3572,4)="CTAX",LEFT(K3572,2)="W|"),2*N3572*O3572,0)</f>
        <v/>
      </c>
      <c r="Z3572" s="12" t="inlineStr">
        <is>
          <t>fixture-to-fixture run included</t>
        </is>
      </c>
      <c r="AA3572" s="12">
        <f>N3572*O3572</f>
        <v/>
      </c>
    </row>
    <row r="3573">
      <c r="A3573" s="12" t="inlineStr">
        <is>
          <t>G-P-0015</t>
        </is>
      </c>
      <c r="B3573" s="12" t="inlineStr">
        <is>
          <t>G</t>
        </is>
      </c>
      <c r="C3573" s="12" t="inlineStr">
        <is>
          <t>Carbon capture</t>
        </is>
      </c>
      <c r="D3573" s="12" t="inlineStr">
        <is>
          <t>480 V welding receptacle 1</t>
        </is>
      </c>
      <c r="E3573" s="12" t="inlineStr"/>
      <c r="F3573" s="12" t="inlineStr">
        <is>
          <t>CCS MV switchgear building (VFDs)</t>
        </is>
      </c>
      <c r="G3573" s="12" t="inlineStr">
        <is>
          <t>ABS-A</t>
        </is>
      </c>
      <c r="H3573" s="12" t="inlineStr">
        <is>
          <t>Absorber A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60</v>
      </c>
      <c r="R3573" s="12" t="n">
        <v>76</v>
      </c>
      <c r="S3573" s="12" t="inlineStr">
        <is>
          <t>Tray</t>
        </is>
      </c>
      <c r="T3573" s="15" t="n">
        <v>570</v>
      </c>
      <c r="U3573" s="15" t="n">
        <v>80</v>
      </c>
      <c r="V3573" s="15">
        <f>ROUNDUP((T3573+U3573+2*'Read Me'!$B$13)*(1+'Read Me'!$B$12),-1)</f>
        <v/>
      </c>
      <c r="W3573" s="15">
        <f>V3573*N3573*O3573</f>
        <v/>
      </c>
      <c r="X3573" s="12">
        <f>IF(LEFT(I3573,2)="MV",2*N3573*IF(L3573="1/C",O3573,1),0)</f>
        <v/>
      </c>
      <c r="Y3573" s="12">
        <f>IF(OR(LEFT(K3573,4)="LVAX",LEFT(K3573,6)="MV15AX",LEFT(K3573,4)="CTAX",LEFT(K3573,2)="W|"),2*N3573*O3573,0)</f>
        <v/>
      </c>
      <c r="Z3573" s="12" t="inlineStr">
        <is>
          <t>VD 2.4 %</t>
        </is>
      </c>
      <c r="AA3573" s="12">
        <f>N3573*O3573</f>
        <v/>
      </c>
    </row>
    <row r="3574">
      <c r="A3574" s="12" t="inlineStr">
        <is>
          <t>G-P-0016</t>
        </is>
      </c>
      <c r="B3574" s="12" t="inlineStr">
        <is>
          <t>G</t>
        </is>
      </c>
      <c r="C3574" s="12" t="inlineStr">
        <is>
          <t>Carbon capture</t>
        </is>
      </c>
      <c r="D3574" s="12" t="inlineStr">
        <is>
          <t>480 V welding receptacle 2</t>
        </is>
      </c>
      <c r="E3574" s="12" t="inlineStr"/>
      <c r="F3574" s="12" t="inlineStr">
        <is>
          <t>CCS MV switchgear building (VFDs)</t>
        </is>
      </c>
      <c r="G3574" s="12" t="inlineStr">
        <is>
          <t>ABS-A</t>
        </is>
      </c>
      <c r="H3574" s="12" t="inlineStr">
        <is>
          <t>Absorber A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60</v>
      </c>
      <c r="R3574" s="12" t="n">
        <v>76</v>
      </c>
      <c r="S3574" s="12" t="inlineStr">
        <is>
          <t>Tray</t>
        </is>
      </c>
      <c r="T3574" s="15" t="n">
        <v>570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2.4 %</t>
        </is>
      </c>
      <c r="AA3574" s="12">
        <f>N3574*O3574</f>
        <v/>
      </c>
    </row>
    <row r="3575">
      <c r="A3575" s="12" t="inlineStr">
        <is>
          <t>G-P-0017</t>
        </is>
      </c>
      <c r="B3575" s="12" t="inlineStr">
        <is>
          <t>G</t>
        </is>
      </c>
      <c r="C3575" s="12" t="inlineStr">
        <is>
          <t>Carbon capture</t>
        </is>
      </c>
      <c r="D3575" s="12" t="inlineStr">
        <is>
          <t>480 V welding receptacle 3</t>
        </is>
      </c>
      <c r="E3575" s="12" t="inlineStr"/>
      <c r="F3575" s="12" t="inlineStr">
        <is>
          <t>CCS MV switchgear building (VFDs)</t>
        </is>
      </c>
      <c r="G3575" s="12" t="inlineStr">
        <is>
          <t>ABS-A</t>
        </is>
      </c>
      <c r="H3575" s="12" t="inlineStr">
        <is>
          <t>Absorber A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60</v>
      </c>
      <c r="R3575" s="12" t="n">
        <v>76</v>
      </c>
      <c r="S3575" s="12" t="inlineStr">
        <is>
          <t>Tray</t>
        </is>
      </c>
      <c r="T3575" s="15" t="n">
        <v>570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2.4 %</t>
        </is>
      </c>
      <c r="AA3575" s="12">
        <f>N3575*O3575</f>
        <v/>
      </c>
    </row>
    <row r="3576">
      <c r="A3576" s="12" t="inlineStr">
        <is>
          <t>G-P-0018</t>
        </is>
      </c>
      <c r="B3576" s="12" t="inlineStr">
        <is>
          <t>G</t>
        </is>
      </c>
      <c r="C3576" s="12" t="inlineStr">
        <is>
          <t>Carbon capture</t>
        </is>
      </c>
      <c r="D3576" s="12" t="inlineStr">
        <is>
          <t>480 V welding receptacle 4</t>
        </is>
      </c>
      <c r="E3576" s="12" t="inlineStr"/>
      <c r="F3576" s="12" t="inlineStr">
        <is>
          <t>CCS MV switchgear building (VFDs)</t>
        </is>
      </c>
      <c r="G3576" s="12" t="inlineStr">
        <is>
          <t>ABS-A</t>
        </is>
      </c>
      <c r="H3576" s="12" t="inlineStr">
        <is>
          <t>Absorber A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60</v>
      </c>
      <c r="R3576" s="12" t="n">
        <v>76</v>
      </c>
      <c r="S3576" s="12" t="inlineStr">
        <is>
          <t>Tray</t>
        </is>
      </c>
      <c r="T3576" s="15" t="n">
        <v>570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2.4 %</t>
        </is>
      </c>
      <c r="AA3576" s="12">
        <f>N3576*O3576</f>
        <v/>
      </c>
    </row>
    <row r="3577">
      <c r="A3577" s="12" t="inlineStr">
        <is>
          <t>G-P-0019</t>
        </is>
      </c>
      <c r="B3577" s="12" t="inlineStr">
        <is>
          <t>G</t>
        </is>
      </c>
      <c r="C3577" s="12" t="inlineStr">
        <is>
          <t>Carbon capture</t>
        </is>
      </c>
      <c r="D3577" s="12" t="inlineStr">
        <is>
          <t>Motor 1 of 2, 150 kW</t>
        </is>
      </c>
      <c r="E3577" s="12" t="inlineStr"/>
      <c r="F3577" s="12" t="inlineStr">
        <is>
          <t>CCS MV switchgear building (VFDs)</t>
        </is>
      </c>
      <c r="G3577" s="12" t="inlineStr"/>
      <c r="H3577" s="12" t="inlineStr">
        <is>
          <t>Absorber A intercooler (pumps + plate exchanger)</t>
        </is>
      </c>
      <c r="I3577" s="12" t="inlineStr">
        <is>
          <t>LV 600 V</t>
        </is>
      </c>
      <c r="J3577" s="12" t="inlineStr">
        <is>
          <t>Type TC-ER 600 V 3/C Cu XHHW-2 + ground, PVC jacket</t>
        </is>
      </c>
      <c r="K3577" s="12" t="inlineStr">
        <is>
          <t>LV|3/C+G|350</t>
        </is>
      </c>
      <c r="L3577" s="12" t="inlineStr">
        <is>
          <t>3/C+G</t>
        </is>
      </c>
      <c r="M3577" s="12" t="inlineStr">
        <is>
          <t>350 kcmil</t>
        </is>
      </c>
      <c r="N3577" s="12" t="n">
        <v>1</v>
      </c>
      <c r="O3577" s="12" t="n">
        <v>1</v>
      </c>
      <c r="P3577" s="12" t="n">
        <v>480</v>
      </c>
      <c r="Q3577" s="12" t="n">
        <v>150</v>
      </c>
      <c r="R3577" s="12" t="n">
        <v>212.3</v>
      </c>
      <c r="S3577" s="12" t="inlineStr">
        <is>
          <t>Tray</t>
        </is>
      </c>
      <c r="T3577" s="15" t="n">
        <v>552</v>
      </c>
      <c r="U3577" s="15" t="n">
        <v>81</v>
      </c>
      <c r="V3577" s="15">
        <f>ROUNDUP((T3577+U3577+2*'Read Me'!$B$13)*(1+'Read Me'!$B$12),-1)</f>
        <v/>
      </c>
      <c r="W3577" s="15">
        <f>V3577*N3577*O3577</f>
        <v/>
      </c>
      <c r="X3577" s="12">
        <f>IF(LEFT(I3577,2)="MV",2*N3577*IF(L3577="1/C",O3577,1),0)</f>
        <v/>
      </c>
      <c r="Y3577" s="12">
        <f>IF(OR(LEFT(K3577,4)="LVAX",LEFT(K3577,6)="MV15AX",LEFT(K3577,4)="CTAX",LEFT(K3577,2)="W|"),2*N3577*O3577,0)</f>
        <v/>
      </c>
      <c r="Z3577" s="12" t="inlineStr">
        <is>
          <t>VD 2.0 %</t>
        </is>
      </c>
      <c r="AA3577" s="12">
        <f>N3577*O3577</f>
        <v/>
      </c>
    </row>
    <row r="3578">
      <c r="A3578" s="12" t="inlineStr">
        <is>
          <t>G-P-0020</t>
        </is>
      </c>
      <c r="B3578" s="12" t="inlineStr">
        <is>
          <t>G</t>
        </is>
      </c>
      <c r="C3578" s="12" t="inlineStr">
        <is>
          <t>Carbon capture</t>
        </is>
      </c>
      <c r="D3578" s="12" t="inlineStr">
        <is>
          <t>Motor 2 of 2, 150 kW</t>
        </is>
      </c>
      <c r="E3578" s="12" t="inlineStr"/>
      <c r="F3578" s="12" t="inlineStr">
        <is>
          <t>CCS MV switchgear building (VFDs)</t>
        </is>
      </c>
      <c r="G3578" s="12" t="inlineStr"/>
      <c r="H3578" s="12" t="inlineStr">
        <is>
          <t>Absorber A intercooler (pumps + plate exchanger)</t>
        </is>
      </c>
      <c r="I3578" s="12" t="inlineStr">
        <is>
          <t>LV 600 V</t>
        </is>
      </c>
      <c r="J3578" s="12" t="inlineStr">
        <is>
          <t>Type TC-ER 600 V 3/C Cu XHHW-2 + ground, PVC jacket</t>
        </is>
      </c>
      <c r="K3578" s="12" t="inlineStr">
        <is>
          <t>LV|3/C+G|350</t>
        </is>
      </c>
      <c r="L3578" s="12" t="inlineStr">
        <is>
          <t>3/C+G</t>
        </is>
      </c>
      <c r="M3578" s="12" t="inlineStr">
        <is>
          <t>350 kcmil</t>
        </is>
      </c>
      <c r="N3578" s="12" t="n">
        <v>1</v>
      </c>
      <c r="O3578" s="12" t="n">
        <v>1</v>
      </c>
      <c r="P3578" s="12" t="n">
        <v>480</v>
      </c>
      <c r="Q3578" s="12" t="n">
        <v>150</v>
      </c>
      <c r="R3578" s="12" t="n">
        <v>212.3</v>
      </c>
      <c r="S3578" s="12" t="inlineStr">
        <is>
          <t>Tray</t>
        </is>
      </c>
      <c r="T3578" s="15" t="n">
        <v>552</v>
      </c>
      <c r="U3578" s="15" t="n">
        <v>81</v>
      </c>
      <c r="V3578" s="15">
        <f>ROUNDUP((T3578+U3578+2*'Read Me'!$B$13)*(1+'Read Me'!$B$12),-1)</f>
        <v/>
      </c>
      <c r="W3578" s="15">
        <f>V3578*N3578*O3578</f>
        <v/>
      </c>
      <c r="X3578" s="12">
        <f>IF(LEFT(I3578,2)="MV",2*N3578*IF(L3578="1/C",O3578,1),0)</f>
        <v/>
      </c>
      <c r="Y3578" s="12">
        <f>IF(OR(LEFT(K3578,4)="LVAX",LEFT(K3578,6)="MV15AX",LEFT(K3578,4)="CTAX",LEFT(K3578,2)="W|"),2*N3578*O3578,0)</f>
        <v/>
      </c>
      <c r="Z3578" s="12" t="inlineStr">
        <is>
          <t>VD 2.0 %</t>
        </is>
      </c>
      <c r="AA3578" s="12">
        <f>N3578*O3578</f>
        <v/>
      </c>
    </row>
    <row r="3579">
      <c r="A3579" s="12" t="inlineStr">
        <is>
          <t>G-P-0021</t>
        </is>
      </c>
      <c r="B3579" s="12" t="inlineStr">
        <is>
          <t>G</t>
        </is>
      </c>
      <c r="C3579" s="12" t="inlineStr">
        <is>
          <t>Carbon capture</t>
        </is>
      </c>
      <c r="D3579" s="12" t="inlineStr">
        <is>
          <t>MOV 1: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G-P-0022</t>
        </is>
      </c>
      <c r="B3580" s="12" t="inlineStr">
        <is>
          <t>G</t>
        </is>
      </c>
      <c r="C3580" s="12" t="inlineStr">
        <is>
          <t>Carbon capture</t>
        </is>
      </c>
      <c r="D3580" s="12" t="inlineStr">
        <is>
          <t>MOV 2: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G-P-0023</t>
        </is>
      </c>
      <c r="B3581" s="12" t="inlineStr">
        <is>
          <t>G</t>
        </is>
      </c>
      <c r="C3581" s="12" t="inlineStr">
        <is>
          <t>Carbon capture</t>
        </is>
      </c>
      <c r="D3581" s="12" t="inlineStr">
        <is>
          <t>MOV 3: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G-P-0024</t>
        </is>
      </c>
      <c r="B3582" s="12" t="inlineStr">
        <is>
          <t>G</t>
        </is>
      </c>
      <c r="C3582" s="12" t="inlineStr">
        <is>
          <t>Carbon capture</t>
        </is>
      </c>
      <c r="D3582" s="12" t="inlineStr">
        <is>
          <t>MOV 4: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G-P-0025</t>
        </is>
      </c>
      <c r="B3583" s="12" t="inlineStr">
        <is>
          <t>G</t>
        </is>
      </c>
      <c r="C3583" s="12" t="inlineStr">
        <is>
          <t>Carbon capture</t>
        </is>
      </c>
      <c r="D3583" s="12" t="inlineStr">
        <is>
          <t>MOV 5: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G-P-0026</t>
        </is>
      </c>
      <c r="B3584" s="12" t="inlineStr">
        <is>
          <t>G</t>
        </is>
      </c>
      <c r="C3584" s="12" t="inlineStr">
        <is>
          <t>Carbon capture</t>
        </is>
      </c>
      <c r="D3584" s="12" t="inlineStr">
        <is>
          <t>MOV 6: power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G-P-0027</t>
        </is>
      </c>
      <c r="B3585" s="12" t="inlineStr">
        <is>
          <t>G</t>
        </is>
      </c>
      <c r="C3585" s="12" t="inlineStr">
        <is>
          <t>Carbon capture</t>
        </is>
      </c>
      <c r="D3585" s="12" t="inlineStr">
        <is>
          <t>MOV 7: power</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Tray</t>
        </is>
      </c>
      <c r="T3585" s="15" t="n">
        <v>410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G-P-0028</t>
        </is>
      </c>
      <c r="B3586" s="12" t="inlineStr">
        <is>
          <t>G</t>
        </is>
      </c>
      <c r="C3586" s="12" t="inlineStr">
        <is>
          <t>Carbon capture</t>
        </is>
      </c>
      <c r="D3586" s="12" t="inlineStr">
        <is>
          <t>MOV 8: power</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Tray</t>
        </is>
      </c>
      <c r="T3586" s="15" t="n">
        <v>410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G-P-0029</t>
        </is>
      </c>
      <c r="B3587" s="12" t="inlineStr">
        <is>
          <t>G</t>
        </is>
      </c>
      <c r="C3587" s="12" t="inlineStr">
        <is>
          <t>Carbon capture</t>
        </is>
      </c>
      <c r="D3587" s="12" t="inlineStr">
        <is>
          <t>MOV 9: power</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2.5</v>
      </c>
      <c r="R3587" s="12" t="n">
        <v>3.5</v>
      </c>
      <c r="S3587" s="12" t="inlineStr">
        <is>
          <t>Tray</t>
        </is>
      </c>
      <c r="T3587" s="15" t="n">
        <v>410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VD 0.8 %</t>
        </is>
      </c>
      <c r="AA3587" s="12">
        <f>N3587*O3587</f>
        <v/>
      </c>
    </row>
    <row r="3588">
      <c r="A3588" s="12" t="inlineStr">
        <is>
          <t>G-P-0030</t>
        </is>
      </c>
      <c r="B3588" s="12" t="inlineStr">
        <is>
          <t>G</t>
        </is>
      </c>
      <c r="C3588" s="12" t="inlineStr">
        <is>
          <t>Carbon capture</t>
        </is>
      </c>
      <c r="D3588" s="12" t="inlineStr">
        <is>
          <t>MOV 10: power</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2.5</v>
      </c>
      <c r="R3588" s="12" t="n">
        <v>3.5</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0.8 %</t>
        </is>
      </c>
      <c r="AA3588" s="12">
        <f>N3588*O3588</f>
        <v/>
      </c>
    </row>
    <row r="3589">
      <c r="A3589" s="12" t="inlineStr">
        <is>
          <t>G-P-0031</t>
        </is>
      </c>
      <c r="B3589" s="12" t="inlineStr">
        <is>
          <t>G</t>
        </is>
      </c>
      <c r="C3589" s="12" t="inlineStr">
        <is>
          <t>Carbon capture</t>
        </is>
      </c>
      <c r="D3589" s="12" t="inlineStr">
        <is>
          <t>LV power feeder</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40</v>
      </c>
      <c r="R3589" s="12" t="n">
        <v>56.6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2.1 %</t>
        </is>
      </c>
      <c r="AA3589" s="12">
        <f>N3589*O3589</f>
        <v/>
      </c>
    </row>
    <row r="3590">
      <c r="A3590" s="12" t="inlineStr">
        <is>
          <t>G-P-0032</t>
        </is>
      </c>
      <c r="B3590" s="12" t="inlineStr">
        <is>
          <t>G</t>
        </is>
      </c>
      <c r="C3590" s="12" t="inlineStr">
        <is>
          <t>Carbon capture</t>
        </is>
      </c>
      <c r="D3590" s="12" t="inlineStr">
        <is>
          <t>Area / platform lighting circuit 1 (12 fixtures)</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LV|3/C+G|10</t>
        </is>
      </c>
      <c r="L3590" s="12" t="inlineStr">
        <is>
          <t>3/C+G</t>
        </is>
      </c>
      <c r="M3590" s="12" t="inlineStr">
        <is>
          <t>10</t>
        </is>
      </c>
      <c r="N3590" s="12" t="n">
        <v>1</v>
      </c>
      <c r="O3590" s="12" t="n">
        <v>1</v>
      </c>
      <c r="P3590" s="12" t="n">
        <v>480</v>
      </c>
      <c r="Q3590" s="12" t="n">
        <v>3</v>
      </c>
      <c r="R3590" s="12" t="n">
        <v>5</v>
      </c>
      <c r="S3590" s="12" t="inlineStr">
        <is>
          <t>Tray</t>
        </is>
      </c>
      <c r="T3590" s="15" t="n">
        <v>710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fixture-to-fixture run included</t>
        </is>
      </c>
      <c r="AA3590" s="12">
        <f>N3590*O3590</f>
        <v/>
      </c>
    </row>
    <row r="3591">
      <c r="A3591" s="12" t="inlineStr">
        <is>
          <t>G-P-0033</t>
        </is>
      </c>
      <c r="B3591" s="12" t="inlineStr">
        <is>
          <t>G</t>
        </is>
      </c>
      <c r="C3591" s="12" t="inlineStr">
        <is>
          <t>Carbon capture</t>
        </is>
      </c>
      <c r="D3591" s="12" t="inlineStr">
        <is>
          <t>Area / platform lighting circuit 2 (12 fixtures)</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3</v>
      </c>
      <c r="R3591" s="12" t="n">
        <v>5</v>
      </c>
      <c r="S3591" s="12" t="inlineStr">
        <is>
          <t>Tray</t>
        </is>
      </c>
      <c r="T3591" s="15" t="n">
        <v>710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fixture-to-fixture run included</t>
        </is>
      </c>
      <c r="AA3591" s="12">
        <f>N3591*O3591</f>
        <v/>
      </c>
    </row>
    <row r="3592">
      <c r="A3592" s="12" t="inlineStr">
        <is>
          <t>G-P-0034</t>
        </is>
      </c>
      <c r="B3592" s="12" t="inlineStr">
        <is>
          <t>G</t>
        </is>
      </c>
      <c r="C3592" s="12" t="inlineStr">
        <is>
          <t>Carbon capture</t>
        </is>
      </c>
      <c r="D3592" s="12" t="inlineStr">
        <is>
          <t>Area / platform lighting circuit 3 (6 fixtures)</t>
        </is>
      </c>
      <c r="E3592" s="12" t="inlineStr"/>
      <c r="F3592" s="12" t="inlineStr">
        <is>
          <t>CCS MV switchgear building (VFDs)</t>
        </is>
      </c>
      <c r="G3592" s="12" t="inlineStr">
        <is>
          <t>ABS-B</t>
        </is>
      </c>
      <c r="H3592" s="12" t="inlineStr">
        <is>
          <t>Absorber B (62 ft dia x 262 ft, stack to 313 ft)</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Tray</t>
        </is>
      </c>
      <c r="T3592" s="15" t="n">
        <v>710</v>
      </c>
      <c r="U3592" s="15" t="n">
        <v>80</v>
      </c>
      <c r="V3592" s="15">
        <f>ROUNDUP((T3592+U3592+2*'Read Me'!$B$13)*(1+'Read Me'!$B$12),-1)</f>
        <v/>
      </c>
      <c r="W3592" s="15">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G-P-0035</t>
        </is>
      </c>
      <c r="B3593" s="12" t="inlineStr">
        <is>
          <t>G</t>
        </is>
      </c>
      <c r="C3593" s="12" t="inlineStr">
        <is>
          <t>Carbon capture</t>
        </is>
      </c>
      <c r="D3593" s="12" t="inlineStr">
        <is>
          <t>480 V welding receptacle 1</t>
        </is>
      </c>
      <c r="E3593" s="12" t="inlineStr"/>
      <c r="F3593" s="12" t="inlineStr">
        <is>
          <t>CCS MV switchgear building (VFDs)</t>
        </is>
      </c>
      <c r="G3593" s="12" t="inlineStr">
        <is>
          <t>ABS-B</t>
        </is>
      </c>
      <c r="H3593" s="12" t="inlineStr">
        <is>
          <t>Absorber B (62 ft dia x 262 ft, stack to 313 ft)</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Tray</t>
        </is>
      </c>
      <c r="T3593" s="15" t="n">
        <v>410</v>
      </c>
      <c r="U3593" s="15" t="n">
        <v>80</v>
      </c>
      <c r="V3593" s="15">
        <f>ROUNDUP((T3593+U3593+2*'Read Me'!$B$13)*(1+'Read Me'!$B$12),-1)</f>
        <v/>
      </c>
      <c r="W3593" s="15">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G-P-0036</t>
        </is>
      </c>
      <c r="B3594" s="12" t="inlineStr">
        <is>
          <t>G</t>
        </is>
      </c>
      <c r="C3594" s="12" t="inlineStr">
        <is>
          <t>Carbon capture</t>
        </is>
      </c>
      <c r="D3594" s="12" t="inlineStr">
        <is>
          <t>480 V welding receptacle 2</t>
        </is>
      </c>
      <c r="E3594" s="12" t="inlineStr"/>
      <c r="F3594" s="12" t="inlineStr">
        <is>
          <t>CCS MV switchgear building (VFDs)</t>
        </is>
      </c>
      <c r="G3594" s="12" t="inlineStr">
        <is>
          <t>ABS-B</t>
        </is>
      </c>
      <c r="H3594" s="12" t="inlineStr">
        <is>
          <t>Absorber B (62 ft dia x 262 ft, stack to 313 ft)</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Tray</t>
        </is>
      </c>
      <c r="T3594" s="15" t="n">
        <v>410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G-P-0037</t>
        </is>
      </c>
      <c r="B3595" s="12" t="inlineStr">
        <is>
          <t>G</t>
        </is>
      </c>
      <c r="C3595" s="12" t="inlineStr">
        <is>
          <t>Carbon capture</t>
        </is>
      </c>
      <c r="D3595" s="12" t="inlineStr">
        <is>
          <t>480 V welding receptacle 3</t>
        </is>
      </c>
      <c r="E3595" s="12" t="inlineStr"/>
      <c r="F3595" s="12" t="inlineStr">
        <is>
          <t>CCS MV switchgear building (VFDs)</t>
        </is>
      </c>
      <c r="G3595" s="12" t="inlineStr">
        <is>
          <t>ABS-B</t>
        </is>
      </c>
      <c r="H3595" s="12" t="inlineStr">
        <is>
          <t>Absorber B (62 ft dia x 262 ft, stack to 313 ft)</t>
        </is>
      </c>
      <c r="I3595" s="12" t="inlineStr">
        <is>
          <t>LV 600 V</t>
        </is>
      </c>
      <c r="J3595" s="12" t="inlineStr">
        <is>
          <t>Type TC-ER 600 V 3/C Cu XHHW-2 + ground, PVC jacket</t>
        </is>
      </c>
      <c r="K3595" s="12" t="inlineStr">
        <is>
          <t>LV|3/C+G|2</t>
        </is>
      </c>
      <c r="L3595" s="12" t="inlineStr">
        <is>
          <t>3/C+G</t>
        </is>
      </c>
      <c r="M3595" s="12" t="inlineStr">
        <is>
          <t>2</t>
        </is>
      </c>
      <c r="N3595" s="12" t="n">
        <v>1</v>
      </c>
      <c r="O3595" s="12" t="n">
        <v>1</v>
      </c>
      <c r="P3595" s="12" t="n">
        <v>480</v>
      </c>
      <c r="Q3595" s="12" t="n">
        <v>60</v>
      </c>
      <c r="R3595" s="12" t="n">
        <v>76</v>
      </c>
      <c r="S3595" s="12" t="inlineStr">
        <is>
          <t>Tray</t>
        </is>
      </c>
      <c r="T3595" s="15" t="n">
        <v>410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2.9 %</t>
        </is>
      </c>
      <c r="AA3595" s="12">
        <f>N3595*O3595</f>
        <v/>
      </c>
    </row>
    <row r="3596">
      <c r="A3596" s="12" t="inlineStr">
        <is>
          <t>G-P-0038</t>
        </is>
      </c>
      <c r="B3596" s="12" t="inlineStr">
        <is>
          <t>G</t>
        </is>
      </c>
      <c r="C3596" s="12" t="inlineStr">
        <is>
          <t>Carbon capture</t>
        </is>
      </c>
      <c r="D3596" s="12" t="inlineStr">
        <is>
          <t>480 V welding receptacle 4</t>
        </is>
      </c>
      <c r="E3596" s="12" t="inlineStr"/>
      <c r="F3596" s="12" t="inlineStr">
        <is>
          <t>CCS MV switchgear building (VFDs)</t>
        </is>
      </c>
      <c r="G3596" s="12" t="inlineStr">
        <is>
          <t>ABS-B</t>
        </is>
      </c>
      <c r="H3596" s="12" t="inlineStr">
        <is>
          <t>Absorber B (62 ft dia x 262 ft, stack to 313 ft)</t>
        </is>
      </c>
      <c r="I3596" s="12" t="inlineStr">
        <is>
          <t>LV 600 V</t>
        </is>
      </c>
      <c r="J3596" s="12" t="inlineStr">
        <is>
          <t>Type TC-ER 600 V 3/C Cu XHHW-2 + ground, PVC jacket</t>
        </is>
      </c>
      <c r="K3596" s="12" t="inlineStr">
        <is>
          <t>LV|3/C+G|2</t>
        </is>
      </c>
      <c r="L3596" s="12" t="inlineStr">
        <is>
          <t>3/C+G</t>
        </is>
      </c>
      <c r="M3596" s="12" t="inlineStr">
        <is>
          <t>2</t>
        </is>
      </c>
      <c r="N3596" s="12" t="n">
        <v>1</v>
      </c>
      <c r="O3596" s="12" t="n">
        <v>1</v>
      </c>
      <c r="P3596" s="12" t="n">
        <v>480</v>
      </c>
      <c r="Q3596" s="12" t="n">
        <v>60</v>
      </c>
      <c r="R3596" s="12" t="n">
        <v>76</v>
      </c>
      <c r="S3596" s="12" t="inlineStr">
        <is>
          <t>Tray</t>
        </is>
      </c>
      <c r="T3596" s="15" t="n">
        <v>410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2.9 %</t>
        </is>
      </c>
      <c r="AA3596" s="12">
        <f>N3596*O3596</f>
        <v/>
      </c>
    </row>
    <row r="3597">
      <c r="A3597" s="12" t="inlineStr">
        <is>
          <t>G-P-0039</t>
        </is>
      </c>
      <c r="B3597" s="12" t="inlineStr">
        <is>
          <t>G</t>
        </is>
      </c>
      <c r="C3597" s="12" t="inlineStr">
        <is>
          <t>Carbon capture</t>
        </is>
      </c>
      <c r="D3597" s="12" t="inlineStr">
        <is>
          <t>Motor 1 of 2, 150 kW</t>
        </is>
      </c>
      <c r="E3597" s="12" t="inlineStr"/>
      <c r="F3597" s="12" t="inlineStr">
        <is>
          <t>CCS MV switchgear building (VFDs)</t>
        </is>
      </c>
      <c r="G3597" s="12" t="inlineStr"/>
      <c r="H3597" s="12" t="inlineStr">
        <is>
          <t>Absorber B intercooler (pumps + plate exchanger)</t>
        </is>
      </c>
      <c r="I3597" s="12" t="inlineStr">
        <is>
          <t>LV 600 V</t>
        </is>
      </c>
      <c r="J3597" s="12" t="inlineStr">
        <is>
          <t>Type TC-ER 600 V 3/C Cu XHHW-2 + ground, PVC jacket</t>
        </is>
      </c>
      <c r="K3597" s="12" t="inlineStr">
        <is>
          <t>LV|3/C+G|350</t>
        </is>
      </c>
      <c r="L3597" s="12" t="inlineStr">
        <is>
          <t>3/C+G</t>
        </is>
      </c>
      <c r="M3597" s="12" t="inlineStr">
        <is>
          <t>350 kcmil</t>
        </is>
      </c>
      <c r="N3597" s="12" t="n">
        <v>1</v>
      </c>
      <c r="O3597" s="12" t="n">
        <v>1</v>
      </c>
      <c r="P3597" s="12" t="n">
        <v>480</v>
      </c>
      <c r="Q3597" s="12" t="n">
        <v>150</v>
      </c>
      <c r="R3597" s="12" t="n">
        <v>212.3</v>
      </c>
      <c r="S3597" s="12" t="inlineStr">
        <is>
          <t>Tray</t>
        </is>
      </c>
      <c r="T3597" s="15" t="n">
        <v>392</v>
      </c>
      <c r="U3597" s="15" t="n">
        <v>81</v>
      </c>
      <c r="V3597" s="15">
        <f>ROUNDUP((T3597+U3597+2*'Read Me'!$B$13)*(1+'Read Me'!$B$12),-1)</f>
        <v/>
      </c>
      <c r="W3597" s="15">
        <f>V3597*N3597*O3597</f>
        <v/>
      </c>
      <c r="X3597" s="12">
        <f>IF(LEFT(I3597,2)="MV",2*N3597*IF(L3597="1/C",O3597,1),0)</f>
        <v/>
      </c>
      <c r="Y3597" s="12">
        <f>IF(OR(LEFT(K3597,4)="LVAX",LEFT(K3597,6)="MV15AX",LEFT(K3597,4)="CTAX",LEFT(K3597,2)="W|"),2*N3597*O3597,0)</f>
        <v/>
      </c>
      <c r="Z3597" s="12" t="inlineStr">
        <is>
          <t>VD 1.5 %</t>
        </is>
      </c>
      <c r="AA3597" s="12">
        <f>N3597*O3597</f>
        <v/>
      </c>
    </row>
    <row r="3598">
      <c r="A3598" s="12" t="inlineStr">
        <is>
          <t>G-P-0040</t>
        </is>
      </c>
      <c r="B3598" s="12" t="inlineStr">
        <is>
          <t>G</t>
        </is>
      </c>
      <c r="C3598" s="12" t="inlineStr">
        <is>
          <t>Carbon capture</t>
        </is>
      </c>
      <c r="D3598" s="12" t="inlineStr">
        <is>
          <t>Motor 2 of 2, 150 kW</t>
        </is>
      </c>
      <c r="E3598" s="12" t="inlineStr"/>
      <c r="F3598" s="12" t="inlineStr">
        <is>
          <t>CCS MV switchgear building (VFDs)</t>
        </is>
      </c>
      <c r="G3598" s="12" t="inlineStr"/>
      <c r="H3598" s="12" t="inlineStr">
        <is>
          <t>Absorber B intercooler (pumps + plate exchanger)</t>
        </is>
      </c>
      <c r="I3598" s="12" t="inlineStr">
        <is>
          <t>LV 600 V</t>
        </is>
      </c>
      <c r="J3598" s="12" t="inlineStr">
        <is>
          <t>Type TC-ER 600 V 3/C Cu XHHW-2 + ground, PVC jacket</t>
        </is>
      </c>
      <c r="K3598" s="12" t="inlineStr">
        <is>
          <t>LV|3/C+G|350</t>
        </is>
      </c>
      <c r="L3598" s="12" t="inlineStr">
        <is>
          <t>3/C+G</t>
        </is>
      </c>
      <c r="M3598" s="12" t="inlineStr">
        <is>
          <t>350 kcmil</t>
        </is>
      </c>
      <c r="N3598" s="12" t="n">
        <v>1</v>
      </c>
      <c r="O3598" s="12" t="n">
        <v>1</v>
      </c>
      <c r="P3598" s="12" t="n">
        <v>480</v>
      </c>
      <c r="Q3598" s="12" t="n">
        <v>150</v>
      </c>
      <c r="R3598" s="12" t="n">
        <v>212.3</v>
      </c>
      <c r="S3598" s="12" t="inlineStr">
        <is>
          <t>Tray</t>
        </is>
      </c>
      <c r="T3598" s="15" t="n">
        <v>392</v>
      </c>
      <c r="U3598" s="15" t="n">
        <v>81</v>
      </c>
      <c r="V3598" s="15">
        <f>ROUNDUP((T3598+U3598+2*'Read Me'!$B$13)*(1+'Read Me'!$B$12),-1)</f>
        <v/>
      </c>
      <c r="W3598" s="15">
        <f>V3598*N3598*O3598</f>
        <v/>
      </c>
      <c r="X3598" s="12">
        <f>IF(LEFT(I3598,2)="MV",2*N3598*IF(L3598="1/C",O3598,1),0)</f>
        <v/>
      </c>
      <c r="Y3598" s="12">
        <f>IF(OR(LEFT(K3598,4)="LVAX",LEFT(K3598,6)="MV15AX",LEFT(K3598,4)="CTAX",LEFT(K3598,2)="W|"),2*N3598*O3598,0)</f>
        <v/>
      </c>
      <c r="Z3598" s="12" t="inlineStr">
        <is>
          <t>VD 1.5 %</t>
        </is>
      </c>
      <c r="AA3598" s="12">
        <f>N3598*O3598</f>
        <v/>
      </c>
    </row>
    <row r="3599">
      <c r="A3599" s="12" t="inlineStr">
        <is>
          <t>G-P-0041</t>
        </is>
      </c>
      <c r="B3599" s="12" t="inlineStr">
        <is>
          <t>G</t>
        </is>
      </c>
      <c r="C3599" s="12" t="inlineStr">
        <is>
          <t>Carbon capture</t>
        </is>
      </c>
      <c r="D3599" s="12" t="inlineStr">
        <is>
          <t>MOV 1: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G-P-0042</t>
        </is>
      </c>
      <c r="B3600" s="12" t="inlineStr">
        <is>
          <t>G</t>
        </is>
      </c>
      <c r="C3600" s="12" t="inlineStr">
        <is>
          <t>Carbon capture</t>
        </is>
      </c>
      <c r="D3600" s="12" t="inlineStr">
        <is>
          <t>MOV 2: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G-P-0043</t>
        </is>
      </c>
      <c r="B3601" s="12" t="inlineStr">
        <is>
          <t>G</t>
        </is>
      </c>
      <c r="C3601" s="12" t="inlineStr">
        <is>
          <t>Carbon capture</t>
        </is>
      </c>
      <c r="D3601" s="12" t="inlineStr">
        <is>
          <t>MOV 3: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G-P-0044</t>
        </is>
      </c>
      <c r="B3602" s="12" t="inlineStr">
        <is>
          <t>G</t>
        </is>
      </c>
      <c r="C3602" s="12" t="inlineStr">
        <is>
          <t>Carbon capture</t>
        </is>
      </c>
      <c r="D3602" s="12" t="inlineStr">
        <is>
          <t>MOV 4: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G-P-0045</t>
        </is>
      </c>
      <c r="B3603" s="12" t="inlineStr">
        <is>
          <t>G</t>
        </is>
      </c>
      <c r="C3603" s="12" t="inlineStr">
        <is>
          <t>Carbon capture</t>
        </is>
      </c>
      <c r="D3603" s="12" t="inlineStr">
        <is>
          <t>MOV 5: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G-P-0046</t>
        </is>
      </c>
      <c r="B3604" s="12" t="inlineStr">
        <is>
          <t>G</t>
        </is>
      </c>
      <c r="C3604" s="12" t="inlineStr">
        <is>
          <t>Carbon capture</t>
        </is>
      </c>
      <c r="D3604" s="12" t="inlineStr">
        <is>
          <t>MOV 6: power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2.5</v>
      </c>
      <c r="R3604" s="12" t="n">
        <v>3.5</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0.6 %</t>
        </is>
      </c>
      <c r="AA3604" s="12">
        <f>N3604*O3604</f>
        <v/>
      </c>
    </row>
    <row r="3605">
      <c r="A3605" s="12" t="inlineStr">
        <is>
          <t>G-P-0047</t>
        </is>
      </c>
      <c r="B3605" s="12" t="inlineStr">
        <is>
          <t>G</t>
        </is>
      </c>
      <c r="C3605" s="12" t="inlineStr">
        <is>
          <t>Carbon capture</t>
        </is>
      </c>
      <c r="D3605" s="12" t="inlineStr">
        <is>
          <t>MOV 7: power</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2.5</v>
      </c>
      <c r="R3605" s="12" t="n">
        <v>3.5</v>
      </c>
      <c r="S3605" s="12" t="inlineStr">
        <is>
          <t>Tray</t>
        </is>
      </c>
      <c r="T3605" s="15" t="n">
        <v>250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VD 0.6 %</t>
        </is>
      </c>
      <c r="AA3605" s="12">
        <f>N3605*O3605</f>
        <v/>
      </c>
    </row>
    <row r="3606">
      <c r="A3606" s="12" t="inlineStr">
        <is>
          <t>G-P-0048</t>
        </is>
      </c>
      <c r="B3606" s="12" t="inlineStr">
        <is>
          <t>G</t>
        </is>
      </c>
      <c r="C3606" s="12" t="inlineStr">
        <is>
          <t>Carbon capture</t>
        </is>
      </c>
      <c r="D3606" s="12" t="inlineStr">
        <is>
          <t>MOV 8: power</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2.5</v>
      </c>
      <c r="R3606" s="12" t="n">
        <v>3.5</v>
      </c>
      <c r="S3606" s="12" t="inlineStr">
        <is>
          <t>Tray</t>
        </is>
      </c>
      <c r="T3606" s="15" t="n">
        <v>250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VD 0.6 %</t>
        </is>
      </c>
      <c r="AA3606" s="12">
        <f>N3606*O3606</f>
        <v/>
      </c>
    </row>
    <row r="3607">
      <c r="A3607" s="12" t="inlineStr">
        <is>
          <t>G-P-0049</t>
        </is>
      </c>
      <c r="B3607" s="12" t="inlineStr">
        <is>
          <t>G</t>
        </is>
      </c>
      <c r="C3607" s="12" t="inlineStr">
        <is>
          <t>Carbon capture</t>
        </is>
      </c>
      <c r="D3607" s="12" t="inlineStr">
        <is>
          <t>MOV 9: power</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Tray</t>
        </is>
      </c>
      <c r="T3607" s="15" t="n">
        <v>250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G-P-0050</t>
        </is>
      </c>
      <c r="B3608" s="12" t="inlineStr">
        <is>
          <t>G</t>
        </is>
      </c>
      <c r="C3608" s="12" t="inlineStr">
        <is>
          <t>Carbon capture</t>
        </is>
      </c>
      <c r="D3608" s="12" t="inlineStr">
        <is>
          <t>MOV 10: power</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0.6 %</t>
        </is>
      </c>
      <c r="AA3608" s="12">
        <f>N3608*O3608</f>
        <v/>
      </c>
    </row>
    <row r="3609">
      <c r="A3609" s="12" t="inlineStr">
        <is>
          <t>G-P-0051</t>
        </is>
      </c>
      <c r="B3609" s="12" t="inlineStr">
        <is>
          <t>G</t>
        </is>
      </c>
      <c r="C3609" s="12" t="inlineStr">
        <is>
          <t>Carbon capture</t>
        </is>
      </c>
      <c r="D3609" s="12" t="inlineStr">
        <is>
          <t>LV power feeder</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LV|3/C+G|4</t>
        </is>
      </c>
      <c r="L3609" s="12" t="inlineStr">
        <is>
          <t>3/C+G</t>
        </is>
      </c>
      <c r="M3609" s="12" t="inlineStr">
        <is>
          <t>4</t>
        </is>
      </c>
      <c r="N3609" s="12" t="n">
        <v>1</v>
      </c>
      <c r="O3609" s="12" t="n">
        <v>1</v>
      </c>
      <c r="P3609" s="12" t="n">
        <v>480</v>
      </c>
      <c r="Q3609" s="12" t="n">
        <v>40</v>
      </c>
      <c r="R3609" s="12" t="n">
        <v>56.6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2.3 %</t>
        </is>
      </c>
      <c r="AA3609" s="12">
        <f>N3609*O3609</f>
        <v/>
      </c>
    </row>
    <row r="3610">
      <c r="A3610" s="12" t="inlineStr">
        <is>
          <t>G-P-0052</t>
        </is>
      </c>
      <c r="B3610" s="12" t="inlineStr">
        <is>
          <t>G</t>
        </is>
      </c>
      <c r="C3610" s="12" t="inlineStr">
        <is>
          <t>Carbon capture</t>
        </is>
      </c>
      <c r="D3610" s="12" t="inlineStr">
        <is>
          <t>Area / platform lighting circuit 1 (12 fixtures)</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Tray</t>
        </is>
      </c>
      <c r="T3610" s="15" t="n">
        <v>550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G-P-0053</t>
        </is>
      </c>
      <c r="B3611" s="12" t="inlineStr">
        <is>
          <t>G</t>
        </is>
      </c>
      <c r="C3611" s="12" t="inlineStr">
        <is>
          <t>Carbon capture</t>
        </is>
      </c>
      <c r="D3611" s="12" t="inlineStr">
        <is>
          <t>Area / platform lighting circuit 2 (12 fixtures)</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3</v>
      </c>
      <c r="R3611" s="12" t="n">
        <v>5</v>
      </c>
      <c r="S3611" s="12" t="inlineStr">
        <is>
          <t>Tray</t>
        </is>
      </c>
      <c r="T3611" s="15" t="n">
        <v>550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fixture-to-fixture run included</t>
        </is>
      </c>
      <c r="AA3611" s="12">
        <f>N3611*O3611</f>
        <v/>
      </c>
    </row>
    <row r="3612">
      <c r="A3612" s="12" t="inlineStr">
        <is>
          <t>G-P-0054</t>
        </is>
      </c>
      <c r="B3612" s="12" t="inlineStr">
        <is>
          <t>G</t>
        </is>
      </c>
      <c r="C3612" s="12" t="inlineStr">
        <is>
          <t>Carbon capture</t>
        </is>
      </c>
      <c r="D3612" s="12" t="inlineStr">
        <is>
          <t>Area / platform lighting circuit 3 (6 fixtures)</t>
        </is>
      </c>
      <c r="E3612" s="12" t="inlineStr"/>
      <c r="F3612" s="12" t="inlineStr">
        <is>
          <t>CCS MV switchgear building (VFDs)</t>
        </is>
      </c>
      <c r="G3612" s="12" t="inlineStr">
        <is>
          <t>ABS-C</t>
        </is>
      </c>
      <c r="H3612" s="12" t="inlineStr">
        <is>
          <t>Absorber C (62 ft dia x 262 ft, stack to 313 ft)</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3</v>
      </c>
      <c r="R3612" s="12" t="n">
        <v>5</v>
      </c>
      <c r="S3612" s="12" t="inlineStr">
        <is>
          <t>Tray</t>
        </is>
      </c>
      <c r="T3612" s="15" t="n">
        <v>550</v>
      </c>
      <c r="U3612" s="15" t="n">
        <v>80</v>
      </c>
      <c r="V3612" s="15">
        <f>ROUNDUP((T3612+U3612+2*'Read Me'!$B$13)*(1+'Read Me'!$B$12),-1)</f>
        <v/>
      </c>
      <c r="W3612" s="15">
        <f>V3612*N3612*O3612</f>
        <v/>
      </c>
      <c r="X3612" s="12">
        <f>IF(LEFT(I3612,2)="MV",2*N3612*IF(L3612="1/C",O3612,1),0)</f>
        <v/>
      </c>
      <c r="Y3612" s="12">
        <f>IF(OR(LEFT(K3612,4)="LVAX",LEFT(K3612,6)="MV15AX",LEFT(K3612,4)="CTAX",LEFT(K3612,2)="W|"),2*N3612*O3612,0)</f>
        <v/>
      </c>
      <c r="Z3612" s="12" t="inlineStr">
        <is>
          <t>fixture-to-fixture run included</t>
        </is>
      </c>
      <c r="AA3612" s="12">
        <f>N3612*O3612</f>
        <v/>
      </c>
    </row>
    <row r="3613">
      <c r="A3613" s="12" t="inlineStr">
        <is>
          <t>G-P-0055</t>
        </is>
      </c>
      <c r="B3613" s="12" t="inlineStr">
        <is>
          <t>G</t>
        </is>
      </c>
      <c r="C3613" s="12" t="inlineStr">
        <is>
          <t>Carbon capture</t>
        </is>
      </c>
      <c r="D3613" s="12" t="inlineStr">
        <is>
          <t>480 V welding receptacle 1</t>
        </is>
      </c>
      <c r="E3613" s="12" t="inlineStr"/>
      <c r="F3613" s="12" t="inlineStr">
        <is>
          <t>CCS MV switchgear building (VFDs)</t>
        </is>
      </c>
      <c r="G3613" s="12" t="inlineStr">
        <is>
          <t>ABS-C</t>
        </is>
      </c>
      <c r="H3613" s="12" t="inlineStr">
        <is>
          <t>Absorber C (62 ft dia x 262 ft, stack to 313 ft)</t>
        </is>
      </c>
      <c r="I3613" s="12" t="inlineStr">
        <is>
          <t>LV 600 V</t>
        </is>
      </c>
      <c r="J3613" s="12" t="inlineStr">
        <is>
          <t>Type TC-ER 600 V 3/C Cu XHHW-2 + ground, PVC jacket</t>
        </is>
      </c>
      <c r="K3613" s="12" t="inlineStr">
        <is>
          <t>LV|3/C+G|2</t>
        </is>
      </c>
      <c r="L3613" s="12" t="inlineStr">
        <is>
          <t>3/C+G</t>
        </is>
      </c>
      <c r="M3613" s="12" t="inlineStr">
        <is>
          <t>2</t>
        </is>
      </c>
      <c r="N3613" s="12" t="n">
        <v>1</v>
      </c>
      <c r="O3613" s="12" t="n">
        <v>1</v>
      </c>
      <c r="P3613" s="12" t="n">
        <v>480</v>
      </c>
      <c r="Q3613" s="12" t="n">
        <v>60</v>
      </c>
      <c r="R3613" s="12" t="n">
        <v>76</v>
      </c>
      <c r="S3613" s="12" t="inlineStr">
        <is>
          <t>Tray</t>
        </is>
      </c>
      <c r="T3613" s="15" t="n">
        <v>250</v>
      </c>
      <c r="U3613" s="15" t="n">
        <v>80</v>
      </c>
      <c r="V3613" s="15">
        <f>ROUNDUP((T3613+U3613+2*'Read Me'!$B$13)*(1+'Read Me'!$B$12),-1)</f>
        <v/>
      </c>
      <c r="W3613" s="15">
        <f>V3613*N3613*O3613</f>
        <v/>
      </c>
      <c r="X3613" s="12">
        <f>IF(LEFT(I3613,2)="MV",2*N3613*IF(L3613="1/C",O3613,1),0)</f>
        <v/>
      </c>
      <c r="Y3613" s="12">
        <f>IF(OR(LEFT(K3613,4)="LVAX",LEFT(K3613,6)="MV15AX",LEFT(K3613,4)="CTAX",LEFT(K3613,2)="W|"),2*N3613*O3613,0)</f>
        <v/>
      </c>
      <c r="Z3613" s="12" t="inlineStr">
        <is>
          <t>VD 1.9 %</t>
        </is>
      </c>
      <c r="AA3613" s="12">
        <f>N3613*O3613</f>
        <v/>
      </c>
    </row>
    <row r="3614">
      <c r="A3614" s="12" t="inlineStr">
        <is>
          <t>G-P-0056</t>
        </is>
      </c>
      <c r="B3614" s="12" t="inlineStr">
        <is>
          <t>G</t>
        </is>
      </c>
      <c r="C3614" s="12" t="inlineStr">
        <is>
          <t>Carbon capture</t>
        </is>
      </c>
      <c r="D3614" s="12" t="inlineStr">
        <is>
          <t>480 V welding receptacle 2</t>
        </is>
      </c>
      <c r="E3614" s="12" t="inlineStr"/>
      <c r="F3614" s="12" t="inlineStr">
        <is>
          <t>CCS MV switchgear building (VFDs)</t>
        </is>
      </c>
      <c r="G3614" s="12" t="inlineStr">
        <is>
          <t>ABS-C</t>
        </is>
      </c>
      <c r="H3614" s="12" t="inlineStr">
        <is>
          <t>Absorber C (62 ft dia x 262 ft, stack to 313 ft)</t>
        </is>
      </c>
      <c r="I3614" s="12" t="inlineStr">
        <is>
          <t>LV 600 V</t>
        </is>
      </c>
      <c r="J3614" s="12" t="inlineStr">
        <is>
          <t>Type TC-ER 600 V 3/C Cu XHHW-2 + ground, PVC jacket</t>
        </is>
      </c>
      <c r="K3614" s="12" t="inlineStr">
        <is>
          <t>LV|3/C+G|2</t>
        </is>
      </c>
      <c r="L3614" s="12" t="inlineStr">
        <is>
          <t>3/C+G</t>
        </is>
      </c>
      <c r="M3614" s="12" t="inlineStr">
        <is>
          <t>2</t>
        </is>
      </c>
      <c r="N3614" s="12" t="n">
        <v>1</v>
      </c>
      <c r="O3614" s="12" t="n">
        <v>1</v>
      </c>
      <c r="P3614" s="12" t="n">
        <v>480</v>
      </c>
      <c r="Q3614" s="12" t="n">
        <v>60</v>
      </c>
      <c r="R3614" s="12" t="n">
        <v>76</v>
      </c>
      <c r="S3614" s="12" t="inlineStr">
        <is>
          <t>Tray</t>
        </is>
      </c>
      <c r="T3614" s="15" t="n">
        <v>250</v>
      </c>
      <c r="U3614" s="15" t="n">
        <v>80</v>
      </c>
      <c r="V3614" s="15">
        <f>ROUNDUP((T3614+U3614+2*'Read Me'!$B$13)*(1+'Read Me'!$B$12),-1)</f>
        <v/>
      </c>
      <c r="W3614" s="15">
        <f>V3614*N3614*O3614</f>
        <v/>
      </c>
      <c r="X3614" s="12">
        <f>IF(LEFT(I3614,2)="MV",2*N3614*IF(L3614="1/C",O3614,1),0)</f>
        <v/>
      </c>
      <c r="Y3614" s="12">
        <f>IF(OR(LEFT(K3614,4)="LVAX",LEFT(K3614,6)="MV15AX",LEFT(K3614,4)="CTAX",LEFT(K3614,2)="W|"),2*N3614*O3614,0)</f>
        <v/>
      </c>
      <c r="Z3614" s="12" t="inlineStr">
        <is>
          <t>VD 1.9 %</t>
        </is>
      </c>
      <c r="AA3614" s="12">
        <f>N3614*O3614</f>
        <v/>
      </c>
    </row>
    <row r="3615">
      <c r="A3615" s="12" t="inlineStr">
        <is>
          <t>G-P-0057</t>
        </is>
      </c>
      <c r="B3615" s="12" t="inlineStr">
        <is>
          <t>G</t>
        </is>
      </c>
      <c r="C3615" s="12" t="inlineStr">
        <is>
          <t>Carbon capture</t>
        </is>
      </c>
      <c r="D3615" s="12" t="inlineStr">
        <is>
          <t>480 V welding receptacle 3</t>
        </is>
      </c>
      <c r="E3615" s="12" t="inlineStr"/>
      <c r="F3615" s="12" t="inlineStr">
        <is>
          <t>CCS MV switchgear building (VFDs)</t>
        </is>
      </c>
      <c r="G3615" s="12" t="inlineStr">
        <is>
          <t>ABS-C</t>
        </is>
      </c>
      <c r="H3615" s="12" t="inlineStr">
        <is>
          <t>Absorber C (62 ft dia x 262 ft, stack to 313 ft)</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5" t="n">
        <v>250</v>
      </c>
      <c r="U3615" s="15" t="n">
        <v>80</v>
      </c>
      <c r="V3615" s="15">
        <f>ROUNDUP((T3615+U3615+2*'Read Me'!$B$13)*(1+'Read Me'!$B$12),-1)</f>
        <v/>
      </c>
      <c r="W3615" s="15">
        <f>V3615*N3615*O3615</f>
        <v/>
      </c>
      <c r="X3615" s="12">
        <f>IF(LEFT(I3615,2)="MV",2*N3615*IF(L3615="1/C",O3615,1),0)</f>
        <v/>
      </c>
      <c r="Y3615" s="12">
        <f>IF(OR(LEFT(K3615,4)="LVAX",LEFT(K3615,6)="MV15AX",LEFT(K3615,4)="CTAX",LEFT(K3615,2)="W|"),2*N3615*O3615,0)</f>
        <v/>
      </c>
      <c r="Z3615" s="12" t="inlineStr">
        <is>
          <t>VD 1.9 %</t>
        </is>
      </c>
      <c r="AA3615" s="12">
        <f>N3615*O3615</f>
        <v/>
      </c>
    </row>
    <row r="3616">
      <c r="A3616" s="12" t="inlineStr">
        <is>
          <t>G-P-0058</t>
        </is>
      </c>
      <c r="B3616" s="12" t="inlineStr">
        <is>
          <t>G</t>
        </is>
      </c>
      <c r="C3616" s="12" t="inlineStr">
        <is>
          <t>Carbon capture</t>
        </is>
      </c>
      <c r="D3616" s="12" t="inlineStr">
        <is>
          <t>480 V welding receptacle 4</t>
        </is>
      </c>
      <c r="E3616" s="12" t="inlineStr"/>
      <c r="F3616" s="12" t="inlineStr">
        <is>
          <t>CCS MV switchgear building (VFDs)</t>
        </is>
      </c>
      <c r="G3616" s="12" t="inlineStr">
        <is>
          <t>ABS-C</t>
        </is>
      </c>
      <c r="H3616" s="12" t="inlineStr">
        <is>
          <t>Absorber C (62 ft dia x 262 ft, stack to 313 ft)</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5" t="n">
        <v>250</v>
      </c>
      <c r="U3616" s="15" t="n">
        <v>80</v>
      </c>
      <c r="V3616" s="15">
        <f>ROUNDUP((T3616+U3616+2*'Read Me'!$B$13)*(1+'Read Me'!$B$12),-1)</f>
        <v/>
      </c>
      <c r="W3616" s="15">
        <f>V3616*N3616*O3616</f>
        <v/>
      </c>
      <c r="X3616" s="12">
        <f>IF(LEFT(I3616,2)="MV",2*N3616*IF(L3616="1/C",O3616,1),0)</f>
        <v/>
      </c>
      <c r="Y3616" s="12">
        <f>IF(OR(LEFT(K3616,4)="LVAX",LEFT(K3616,6)="MV15AX",LEFT(K3616,4)="CTAX",LEFT(K3616,2)="W|"),2*N3616*O3616,0)</f>
        <v/>
      </c>
      <c r="Z3616" s="12" t="inlineStr">
        <is>
          <t>VD 1.9 %</t>
        </is>
      </c>
      <c r="AA3616" s="12">
        <f>N3616*O3616</f>
        <v/>
      </c>
    </row>
    <row r="3617">
      <c r="A3617" s="12" t="inlineStr">
        <is>
          <t>G-P-0059</t>
        </is>
      </c>
      <c r="B3617" s="12" t="inlineStr">
        <is>
          <t>G</t>
        </is>
      </c>
      <c r="C3617" s="12" t="inlineStr">
        <is>
          <t>Carbon capture</t>
        </is>
      </c>
      <c r="D3617" s="12" t="inlineStr">
        <is>
          <t>Motor 1 of 2, 150 kW</t>
        </is>
      </c>
      <c r="E3617" s="12" t="inlineStr"/>
      <c r="F3617" s="12" t="inlineStr">
        <is>
          <t>CCS MV switchgear building (VFDs)</t>
        </is>
      </c>
      <c r="G3617" s="12" t="inlineStr"/>
      <c r="H3617" s="12" t="inlineStr">
        <is>
          <t>Absorber C intercooler (pumps + plate exchanger)</t>
        </is>
      </c>
      <c r="I3617" s="12" t="inlineStr">
        <is>
          <t>LV 600 V</t>
        </is>
      </c>
      <c r="J3617" s="12" t="inlineStr">
        <is>
          <t>Type TC-ER 600 V 3/C Cu XHHW-2 + ground, PVC jacket</t>
        </is>
      </c>
      <c r="K3617" s="12" t="inlineStr">
        <is>
          <t>LV|3/C+G|350</t>
        </is>
      </c>
      <c r="L3617" s="12" t="inlineStr">
        <is>
          <t>3/C+G</t>
        </is>
      </c>
      <c r="M3617" s="12" t="inlineStr">
        <is>
          <t>350 kcmil</t>
        </is>
      </c>
      <c r="N3617" s="12" t="n">
        <v>1</v>
      </c>
      <c r="O3617" s="12" t="n">
        <v>1</v>
      </c>
      <c r="P3617" s="12" t="n">
        <v>480</v>
      </c>
      <c r="Q3617" s="12" t="n">
        <v>150</v>
      </c>
      <c r="R3617" s="12" t="n">
        <v>212.3</v>
      </c>
      <c r="S3617" s="12" t="inlineStr">
        <is>
          <t>Tray</t>
        </is>
      </c>
      <c r="T3617" s="15" t="n">
        <v>232</v>
      </c>
      <c r="U3617" s="15" t="n">
        <v>81</v>
      </c>
      <c r="V3617" s="15">
        <f>ROUNDUP((T3617+U3617+2*'Read Me'!$B$13)*(1+'Read Me'!$B$12),-1)</f>
        <v/>
      </c>
      <c r="W3617" s="15">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G-P-0060</t>
        </is>
      </c>
      <c r="B3618" s="12" t="inlineStr">
        <is>
          <t>G</t>
        </is>
      </c>
      <c r="C3618" s="12" t="inlineStr">
        <is>
          <t>Carbon capture</t>
        </is>
      </c>
      <c r="D3618" s="12" t="inlineStr">
        <is>
          <t>Motor 2 of 2, 150 kW</t>
        </is>
      </c>
      <c r="E3618" s="12" t="inlineStr"/>
      <c r="F3618" s="12" t="inlineStr">
        <is>
          <t>CCS MV switchgear building (VFDs)</t>
        </is>
      </c>
      <c r="G3618" s="12" t="inlineStr"/>
      <c r="H3618" s="12" t="inlineStr">
        <is>
          <t>Absorber C intercooler (pumps + plate exchanger)</t>
        </is>
      </c>
      <c r="I3618" s="12" t="inlineStr">
        <is>
          <t>LV 600 V</t>
        </is>
      </c>
      <c r="J3618" s="12" t="inlineStr">
        <is>
          <t>Type TC-ER 600 V 3/C Cu XHHW-2 + ground, PVC jacket</t>
        </is>
      </c>
      <c r="K3618" s="12" t="inlineStr">
        <is>
          <t>LV|3/C+G|350</t>
        </is>
      </c>
      <c r="L3618" s="12" t="inlineStr">
        <is>
          <t>3/C+G</t>
        </is>
      </c>
      <c r="M3618" s="12" t="inlineStr">
        <is>
          <t>350 kcmil</t>
        </is>
      </c>
      <c r="N3618" s="12" t="n">
        <v>1</v>
      </c>
      <c r="O3618" s="12" t="n">
        <v>1</v>
      </c>
      <c r="P3618" s="12" t="n">
        <v>480</v>
      </c>
      <c r="Q3618" s="12" t="n">
        <v>150</v>
      </c>
      <c r="R3618" s="12" t="n">
        <v>212.3</v>
      </c>
      <c r="S3618" s="12" t="inlineStr">
        <is>
          <t>Tray</t>
        </is>
      </c>
      <c r="T3618" s="15" t="n">
        <v>232</v>
      </c>
      <c r="U3618" s="15" t="n">
        <v>81</v>
      </c>
      <c r="V3618" s="15">
        <f>ROUNDUP((T3618+U3618+2*'Read Me'!$B$13)*(1+'Read Me'!$B$12),-1)</f>
        <v/>
      </c>
      <c r="W3618" s="15">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G-P-0061</t>
        </is>
      </c>
      <c r="B3619" s="12" t="inlineStr">
        <is>
          <t>G</t>
        </is>
      </c>
      <c r="C3619" s="12" t="inlineStr">
        <is>
          <t>Carbon capture</t>
        </is>
      </c>
      <c r="D3619" s="12" t="inlineStr">
        <is>
          <t>LV power feeder</t>
        </is>
      </c>
      <c r="E3619" s="12" t="inlineStr"/>
      <c r="F3619" s="12" t="inlineStr">
        <is>
          <t>CCS MV switchgear building (VFDs)</t>
        </is>
      </c>
      <c r="G3619" s="12" t="inlineStr"/>
      <c r="H3619" s="12" t="inlineStr">
        <is>
          <t>Activated-carbon filter</t>
        </is>
      </c>
      <c r="I3619" s="12" t="inlineStr">
        <is>
          <t>LV 600 V</t>
        </is>
      </c>
      <c r="J3619" s="12" t="inlineStr">
        <is>
          <t>Type TC-ER 600 V 3/C Cu XHHW-2 + ground, PVC jacket</t>
        </is>
      </c>
      <c r="K3619" s="12" t="inlineStr">
        <is>
          <t>LV|3/C+G|8</t>
        </is>
      </c>
      <c r="L3619" s="12" t="inlineStr">
        <is>
          <t>3/C+G</t>
        </is>
      </c>
      <c r="M3619" s="12" t="inlineStr">
        <is>
          <t>8</t>
        </is>
      </c>
      <c r="N3619" s="12" t="n">
        <v>1</v>
      </c>
      <c r="O3619" s="12" t="n">
        <v>1</v>
      </c>
      <c r="P3619" s="12" t="n">
        <v>480</v>
      </c>
      <c r="Q3619" s="12" t="n">
        <v>15</v>
      </c>
      <c r="R3619" s="12" t="n">
        <v>21.2</v>
      </c>
      <c r="S3619" s="12" t="inlineStr">
        <is>
          <t>Duct bank</t>
        </is>
      </c>
      <c r="T3619" s="15" t="n">
        <v>289</v>
      </c>
      <c r="U3619" s="15" t="n">
        <v>43</v>
      </c>
      <c r="V3619" s="15">
        <f>ROUNDUP((T3619+U3619+2*'Read Me'!$B$13)*(1+'Read Me'!$B$12),-1)</f>
        <v/>
      </c>
      <c r="W3619" s="15">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G-P-0062</t>
        </is>
      </c>
      <c r="B3620" s="12" t="inlineStr">
        <is>
          <t>G</t>
        </is>
      </c>
      <c r="C3620" s="12" t="inlineStr">
        <is>
          <t>Carbon capture</t>
        </is>
      </c>
      <c r="D3620" s="12" t="inlineStr">
        <is>
          <t>Motor 1 of 4, 15 kW</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LV|3/C+G|6</t>
        </is>
      </c>
      <c r="L3620" s="12" t="inlineStr">
        <is>
          <t>3/C+G</t>
        </is>
      </c>
      <c r="M3620" s="12" t="inlineStr">
        <is>
          <t>6</t>
        </is>
      </c>
      <c r="N3620" s="12" t="n">
        <v>1</v>
      </c>
      <c r="O3620" s="12" t="n">
        <v>1</v>
      </c>
      <c r="P3620" s="12" t="n">
        <v>480</v>
      </c>
      <c r="Q3620" s="12" t="n">
        <v>15</v>
      </c>
      <c r="R3620" s="12" t="n">
        <v>21.2</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2.0 %</t>
        </is>
      </c>
      <c r="AA3620" s="12">
        <f>N3620*O3620</f>
        <v/>
      </c>
    </row>
    <row r="3621">
      <c r="A3621" s="12" t="inlineStr">
        <is>
          <t>G-P-0063</t>
        </is>
      </c>
      <c r="B3621" s="12" t="inlineStr">
        <is>
          <t>G</t>
        </is>
      </c>
      <c r="C3621" s="12" t="inlineStr">
        <is>
          <t>Carbon capture</t>
        </is>
      </c>
      <c r="D3621" s="12" t="inlineStr">
        <is>
          <t>Motor 2 of 4, 15 kW</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LV|3/C+G|6</t>
        </is>
      </c>
      <c r="L3621" s="12" t="inlineStr">
        <is>
          <t>3/C+G</t>
        </is>
      </c>
      <c r="M3621" s="12" t="inlineStr">
        <is>
          <t>6</t>
        </is>
      </c>
      <c r="N3621" s="12" t="n">
        <v>1</v>
      </c>
      <c r="O3621" s="12" t="n">
        <v>1</v>
      </c>
      <c r="P3621" s="12" t="n">
        <v>480</v>
      </c>
      <c r="Q3621" s="12" t="n">
        <v>15</v>
      </c>
      <c r="R3621" s="12" t="n">
        <v>21.2</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2.0 %</t>
        </is>
      </c>
      <c r="AA3621" s="12">
        <f>N3621*O3621</f>
        <v/>
      </c>
    </row>
    <row r="3622">
      <c r="A3622" s="12" t="inlineStr">
        <is>
          <t>G-P-0064</t>
        </is>
      </c>
      <c r="B3622" s="12" t="inlineStr">
        <is>
          <t>G</t>
        </is>
      </c>
      <c r="C3622" s="12" t="inlineStr">
        <is>
          <t>Carbon capture</t>
        </is>
      </c>
      <c r="D3622" s="12" t="inlineStr">
        <is>
          <t>Motor 3 of 4, 15 kW</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LV|3/C+G|6</t>
        </is>
      </c>
      <c r="L3622" s="12" t="inlineStr">
        <is>
          <t>3/C+G</t>
        </is>
      </c>
      <c r="M3622" s="12" t="inlineStr">
        <is>
          <t>6</t>
        </is>
      </c>
      <c r="N3622" s="12" t="n">
        <v>1</v>
      </c>
      <c r="O3622" s="12" t="n">
        <v>1</v>
      </c>
      <c r="P3622" s="12" t="n">
        <v>480</v>
      </c>
      <c r="Q3622" s="12" t="n">
        <v>15</v>
      </c>
      <c r="R3622" s="12" t="n">
        <v>21.2</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2.0 %</t>
        </is>
      </c>
      <c r="AA3622" s="12">
        <f>N3622*O3622</f>
        <v/>
      </c>
    </row>
    <row r="3623">
      <c r="A3623" s="12" t="inlineStr">
        <is>
          <t>G-P-0065</t>
        </is>
      </c>
      <c r="B3623" s="12" t="inlineStr">
        <is>
          <t>G</t>
        </is>
      </c>
      <c r="C3623" s="12" t="inlineStr">
        <is>
          <t>Carbon capture</t>
        </is>
      </c>
      <c r="D3623" s="12" t="inlineStr">
        <is>
          <t>Motor 4 of 4, 15 kW</t>
        </is>
      </c>
      <c r="E3623" s="12" t="inlineStr"/>
      <c r="F3623" s="12" t="inlineStr">
        <is>
          <t>CCS MV switchgear building (VFDs)</t>
        </is>
      </c>
      <c r="G3623" s="12" t="inlineStr">
        <is>
          <t>BF-A</t>
        </is>
      </c>
      <c r="H3623" s="12" t="inlineStr">
        <is>
          <t>BF-A: booster fan (~16 MW)</t>
        </is>
      </c>
      <c r="I3623" s="12" t="inlineStr">
        <is>
          <t>LV 600 V</t>
        </is>
      </c>
      <c r="J3623" s="12" t="inlineStr">
        <is>
          <t>Type TC-ER 600 V 3/C Cu XHHW-2 + ground, PVC jacket</t>
        </is>
      </c>
      <c r="K3623" s="12" t="inlineStr">
        <is>
          <t>LV|3/C+G|6</t>
        </is>
      </c>
      <c r="L3623" s="12" t="inlineStr">
        <is>
          <t>3/C+G</t>
        </is>
      </c>
      <c r="M3623" s="12" t="inlineStr">
        <is>
          <t>6</t>
        </is>
      </c>
      <c r="N3623" s="12" t="n">
        <v>1</v>
      </c>
      <c r="O3623" s="12" t="n">
        <v>1</v>
      </c>
      <c r="P3623" s="12" t="n">
        <v>480</v>
      </c>
      <c r="Q3623" s="12" t="n">
        <v>15</v>
      </c>
      <c r="R3623" s="12" t="n">
        <v>21.2</v>
      </c>
      <c r="S3623" s="12" t="inlineStr">
        <is>
          <t>Duct bank</t>
        </is>
      </c>
      <c r="T3623" s="15" t="n">
        <v>460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G-P-0066</t>
        </is>
      </c>
      <c r="B3624" s="12" t="inlineStr">
        <is>
          <t>G</t>
        </is>
      </c>
      <c r="C3624" s="12" t="inlineStr">
        <is>
          <t>Carbon capture</t>
        </is>
      </c>
      <c r="D3624" s="12" t="inlineStr">
        <is>
          <t>480 V welding receptacle 1</t>
        </is>
      </c>
      <c r="E3624" s="12" t="inlineStr"/>
      <c r="F3624" s="12" t="inlineStr">
        <is>
          <t>CCS MV switchgear building (VFDs)</t>
        </is>
      </c>
      <c r="G3624" s="12" t="inlineStr">
        <is>
          <t>BF-A</t>
        </is>
      </c>
      <c r="H3624" s="12" t="inlineStr">
        <is>
          <t>BF-A: booster fan (~16 MW)</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60</v>
      </c>
      <c r="R3624" s="12" t="n">
        <v>76</v>
      </c>
      <c r="S3624" s="12" t="inlineStr">
        <is>
          <t>Duct bank</t>
        </is>
      </c>
      <c r="T3624" s="15" t="n">
        <v>460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2.9 %</t>
        </is>
      </c>
      <c r="AA3624" s="12">
        <f>N3624*O3624</f>
        <v/>
      </c>
    </row>
    <row r="3625">
      <c r="A3625" s="12" t="inlineStr">
        <is>
          <t>G-P-0067</t>
        </is>
      </c>
      <c r="B3625" s="12" t="inlineStr">
        <is>
          <t>G</t>
        </is>
      </c>
      <c r="C3625" s="12" t="inlineStr">
        <is>
          <t>Carbon capture</t>
        </is>
      </c>
      <c r="D3625" s="12" t="inlineStr">
        <is>
          <t>480 V welding receptacle 2</t>
        </is>
      </c>
      <c r="E3625" s="12" t="inlineStr"/>
      <c r="F3625" s="12" t="inlineStr">
        <is>
          <t>CCS MV switchgear building (VFDs)</t>
        </is>
      </c>
      <c r="G3625" s="12" t="inlineStr">
        <is>
          <t>BF-A</t>
        </is>
      </c>
      <c r="H3625" s="12" t="inlineStr">
        <is>
          <t>BF-A: booster fan (~16 MW)</t>
        </is>
      </c>
      <c r="I3625" s="12" t="inlineStr">
        <is>
          <t>LV 600 V</t>
        </is>
      </c>
      <c r="J3625" s="12" t="inlineStr">
        <is>
          <t>Type TC-ER 600 V 3/C Cu XHHW-2 + ground, PVC jacket</t>
        </is>
      </c>
      <c r="K3625" s="12" t="inlineStr">
        <is>
          <t>LV|3/C+G|2</t>
        </is>
      </c>
      <c r="L3625" s="12" t="inlineStr">
        <is>
          <t>3/C+G</t>
        </is>
      </c>
      <c r="M3625" s="12" t="inlineStr">
        <is>
          <t>2</t>
        </is>
      </c>
      <c r="N3625" s="12" t="n">
        <v>1</v>
      </c>
      <c r="O3625" s="12" t="n">
        <v>1</v>
      </c>
      <c r="P3625" s="12" t="n">
        <v>480</v>
      </c>
      <c r="Q3625" s="12" t="n">
        <v>60</v>
      </c>
      <c r="R3625" s="12" t="n">
        <v>76</v>
      </c>
      <c r="S3625" s="12" t="inlineStr">
        <is>
          <t>Duct bank</t>
        </is>
      </c>
      <c r="T3625" s="15" t="n">
        <v>460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2.9 %</t>
        </is>
      </c>
      <c r="AA3625" s="12">
        <f>N3625*O3625</f>
        <v/>
      </c>
    </row>
    <row r="3626">
      <c r="A3626" s="12" t="inlineStr">
        <is>
          <t>G-P-0068</t>
        </is>
      </c>
      <c r="B3626" s="12" t="inlineStr">
        <is>
          <t>G</t>
        </is>
      </c>
      <c r="C3626" s="12" t="inlineStr">
        <is>
          <t>Carbon capture</t>
        </is>
      </c>
      <c r="D3626" s="12" t="inlineStr">
        <is>
          <t>480 V welding receptacle 3</t>
        </is>
      </c>
      <c r="E3626" s="12" t="inlineStr"/>
      <c r="F3626" s="12" t="inlineStr">
        <is>
          <t>CCS MV switchgear building (VFDs)</t>
        </is>
      </c>
      <c r="G3626" s="12" t="inlineStr">
        <is>
          <t>BF-A</t>
        </is>
      </c>
      <c r="H3626" s="12" t="inlineStr">
        <is>
          <t>BF-A: booster fan (~16 MW)</t>
        </is>
      </c>
      <c r="I3626" s="12" t="inlineStr">
        <is>
          <t>LV 600 V</t>
        </is>
      </c>
      <c r="J3626" s="12" t="inlineStr">
        <is>
          <t>Type TC-ER 600 V 3/C Cu XHHW-2 + ground, PVC jacket</t>
        </is>
      </c>
      <c r="K3626" s="12" t="inlineStr">
        <is>
          <t>LV|3/C+G|2</t>
        </is>
      </c>
      <c r="L3626" s="12" t="inlineStr">
        <is>
          <t>3/C+G</t>
        </is>
      </c>
      <c r="M3626" s="12" t="inlineStr">
        <is>
          <t>2</t>
        </is>
      </c>
      <c r="N3626" s="12" t="n">
        <v>1</v>
      </c>
      <c r="O3626" s="12" t="n">
        <v>1</v>
      </c>
      <c r="P3626" s="12" t="n">
        <v>480</v>
      </c>
      <c r="Q3626" s="12" t="n">
        <v>60</v>
      </c>
      <c r="R3626" s="12" t="n">
        <v>76</v>
      </c>
      <c r="S3626" s="12" t="inlineStr">
        <is>
          <t>Duct bank</t>
        </is>
      </c>
      <c r="T3626" s="15" t="n">
        <v>460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2.9 %</t>
        </is>
      </c>
      <c r="AA3626" s="12">
        <f>N3626*O3626</f>
        <v/>
      </c>
    </row>
    <row r="3627">
      <c r="A3627" s="12" t="inlineStr">
        <is>
          <t>G-P-0069</t>
        </is>
      </c>
      <c r="B3627" s="12" t="inlineStr">
        <is>
          <t>G</t>
        </is>
      </c>
      <c r="C3627" s="12" t="inlineStr">
        <is>
          <t>Carbon capture</t>
        </is>
      </c>
      <c r="D3627" s="12" t="inlineStr">
        <is>
          <t>480 V welding receptacle 4</t>
        </is>
      </c>
      <c r="E3627" s="12" t="inlineStr"/>
      <c r="F3627" s="12" t="inlineStr">
        <is>
          <t>CCS MV switchgear building (VFDs)</t>
        </is>
      </c>
      <c r="G3627" s="12" t="inlineStr">
        <is>
          <t>BF-A</t>
        </is>
      </c>
      <c r="H3627" s="12" t="inlineStr">
        <is>
          <t>BF-A: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460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2.9 %</t>
        </is>
      </c>
      <c r="AA3627" s="12">
        <f>N3627*O3627</f>
        <v/>
      </c>
    </row>
    <row r="3628">
      <c r="A3628" s="12" t="inlineStr">
        <is>
          <t>G-P-0070</t>
        </is>
      </c>
      <c r="B3628" s="12" t="inlineStr">
        <is>
          <t>G</t>
        </is>
      </c>
      <c r="C3628" s="12" t="inlineStr">
        <is>
          <t>Carbon capture</t>
        </is>
      </c>
      <c r="D3628" s="12" t="inlineStr">
        <is>
          <t>Motor 1 of 4, 15 kW</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LV|3/C+G|8</t>
        </is>
      </c>
      <c r="L3628" s="12" t="inlineStr">
        <is>
          <t>3/C+G</t>
        </is>
      </c>
      <c r="M3628" s="12" t="inlineStr">
        <is>
          <t>8</t>
        </is>
      </c>
      <c r="N3628" s="12" t="n">
        <v>1</v>
      </c>
      <c r="O3628" s="12" t="n">
        <v>1</v>
      </c>
      <c r="P3628" s="12" t="n">
        <v>480</v>
      </c>
      <c r="Q3628" s="12" t="n">
        <v>15</v>
      </c>
      <c r="R3628" s="12" t="n">
        <v>21.2</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2.1 %</t>
        </is>
      </c>
      <c r="AA3628" s="12">
        <f>N3628*O3628</f>
        <v/>
      </c>
    </row>
    <row r="3629">
      <c r="A3629" s="12" t="inlineStr">
        <is>
          <t>G-P-0071</t>
        </is>
      </c>
      <c r="B3629" s="12" t="inlineStr">
        <is>
          <t>G</t>
        </is>
      </c>
      <c r="C3629" s="12" t="inlineStr">
        <is>
          <t>Carbon capture</t>
        </is>
      </c>
      <c r="D3629" s="12" t="inlineStr">
        <is>
          <t>Motor 2 of 4, 15 kW</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LV|3/C+G|8</t>
        </is>
      </c>
      <c r="L3629" s="12" t="inlineStr">
        <is>
          <t>3/C+G</t>
        </is>
      </c>
      <c r="M3629" s="12" t="inlineStr">
        <is>
          <t>8</t>
        </is>
      </c>
      <c r="N3629" s="12" t="n">
        <v>1</v>
      </c>
      <c r="O3629" s="12" t="n">
        <v>1</v>
      </c>
      <c r="P3629" s="12" t="n">
        <v>480</v>
      </c>
      <c r="Q3629" s="12" t="n">
        <v>15</v>
      </c>
      <c r="R3629" s="12" t="n">
        <v>21.2</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2.1 %</t>
        </is>
      </c>
      <c r="AA3629" s="12">
        <f>N3629*O3629</f>
        <v/>
      </c>
    </row>
    <row r="3630">
      <c r="A3630" s="12" t="inlineStr">
        <is>
          <t>G-P-0072</t>
        </is>
      </c>
      <c r="B3630" s="12" t="inlineStr">
        <is>
          <t>G</t>
        </is>
      </c>
      <c r="C3630" s="12" t="inlineStr">
        <is>
          <t>Carbon capture</t>
        </is>
      </c>
      <c r="D3630" s="12" t="inlineStr">
        <is>
          <t>Motor 3 of 4, 15 kW</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LV|3/C+G|8</t>
        </is>
      </c>
      <c r="L3630" s="12" t="inlineStr">
        <is>
          <t>3/C+G</t>
        </is>
      </c>
      <c r="M3630" s="12" t="inlineStr">
        <is>
          <t>8</t>
        </is>
      </c>
      <c r="N3630" s="12" t="n">
        <v>1</v>
      </c>
      <c r="O3630" s="12" t="n">
        <v>1</v>
      </c>
      <c r="P3630" s="12" t="n">
        <v>480</v>
      </c>
      <c r="Q3630" s="12" t="n">
        <v>15</v>
      </c>
      <c r="R3630" s="12" t="n">
        <v>21.2</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2.1 %</t>
        </is>
      </c>
      <c r="AA3630" s="12">
        <f>N3630*O3630</f>
        <v/>
      </c>
    </row>
    <row r="3631">
      <c r="A3631" s="12" t="inlineStr">
        <is>
          <t>G-P-0073</t>
        </is>
      </c>
      <c r="B3631" s="12" t="inlineStr">
        <is>
          <t>G</t>
        </is>
      </c>
      <c r="C3631" s="12" t="inlineStr">
        <is>
          <t>Carbon capture</t>
        </is>
      </c>
      <c r="D3631" s="12" t="inlineStr">
        <is>
          <t>Motor 4 of 4, 15 kW</t>
        </is>
      </c>
      <c r="E3631" s="12" t="inlineStr"/>
      <c r="F3631" s="12" t="inlineStr">
        <is>
          <t>CCS MV switchgear building (VFDs)</t>
        </is>
      </c>
      <c r="G3631" s="12" t="inlineStr">
        <is>
          <t>BF-B</t>
        </is>
      </c>
      <c r="H3631" s="12" t="inlineStr">
        <is>
          <t>BF-B: booster fan (~16 MW)</t>
        </is>
      </c>
      <c r="I3631" s="12" t="inlineStr">
        <is>
          <t>LV 600 V</t>
        </is>
      </c>
      <c r="J3631" s="12" t="inlineStr">
        <is>
          <t>Type TC-ER 600 V 3/C Cu XHHW-2 + ground, PVC jacket</t>
        </is>
      </c>
      <c r="K3631" s="12" t="inlineStr">
        <is>
          <t>LV|3/C+G|8</t>
        </is>
      </c>
      <c r="L3631" s="12" t="inlineStr">
        <is>
          <t>3/C+G</t>
        </is>
      </c>
      <c r="M3631" s="12" t="inlineStr">
        <is>
          <t>8</t>
        </is>
      </c>
      <c r="N3631" s="12" t="n">
        <v>1</v>
      </c>
      <c r="O3631" s="12" t="n">
        <v>1</v>
      </c>
      <c r="P3631" s="12" t="n">
        <v>480</v>
      </c>
      <c r="Q3631" s="12" t="n">
        <v>15</v>
      </c>
      <c r="R3631" s="12" t="n">
        <v>21.2</v>
      </c>
      <c r="S3631" s="12" t="inlineStr">
        <is>
          <t>Duct bank</t>
        </is>
      </c>
      <c r="T3631" s="15" t="n">
        <v>300</v>
      </c>
      <c r="U3631" s="15" t="n">
        <v>32</v>
      </c>
      <c r="V3631" s="15">
        <f>ROUNDUP((T3631+U3631+2*'Read Me'!$B$13)*(1+'Read Me'!$B$12),-1)</f>
        <v/>
      </c>
      <c r="W3631" s="15">
        <f>V3631*N3631*O3631</f>
        <v/>
      </c>
      <c r="X3631" s="12">
        <f>IF(LEFT(I3631,2)="MV",2*N3631*IF(L3631="1/C",O3631,1),0)</f>
        <v/>
      </c>
      <c r="Y3631" s="12">
        <f>IF(OR(LEFT(K3631,4)="LVAX",LEFT(K3631,6)="MV15AX",LEFT(K3631,4)="CTAX",LEFT(K3631,2)="W|"),2*N3631*O3631,0)</f>
        <v/>
      </c>
      <c r="Z3631" s="12" t="inlineStr">
        <is>
          <t>VD 2.1 %</t>
        </is>
      </c>
      <c r="AA3631" s="12">
        <f>N3631*O3631</f>
        <v/>
      </c>
    </row>
    <row r="3632">
      <c r="A3632" s="12" t="inlineStr">
        <is>
          <t>G-P-0074</t>
        </is>
      </c>
      <c r="B3632" s="12" t="inlineStr">
        <is>
          <t>G</t>
        </is>
      </c>
      <c r="C3632" s="12" t="inlineStr">
        <is>
          <t>Carbon capture</t>
        </is>
      </c>
      <c r="D3632" s="12" t="inlineStr">
        <is>
          <t>480 V welding receptacle 1</t>
        </is>
      </c>
      <c r="E3632" s="12" t="inlineStr"/>
      <c r="F3632" s="12" t="inlineStr">
        <is>
          <t>CCS MV switchgear building (VFDs)</t>
        </is>
      </c>
      <c r="G3632" s="12" t="inlineStr">
        <is>
          <t>BF-B</t>
        </is>
      </c>
      <c r="H3632" s="12" t="inlineStr">
        <is>
          <t>BF-B: booster fan (~16 MW)</t>
        </is>
      </c>
      <c r="I3632" s="12" t="inlineStr">
        <is>
          <t>LV 600 V</t>
        </is>
      </c>
      <c r="J3632" s="12" t="inlineStr">
        <is>
          <t>Type TC-ER 600 V 3/C Cu XHHW-2 + ground, PVC jacket</t>
        </is>
      </c>
      <c r="K3632" s="12" t="inlineStr">
        <is>
          <t>LV|3/C+G|2</t>
        </is>
      </c>
      <c r="L3632" s="12" t="inlineStr">
        <is>
          <t>3/C+G</t>
        </is>
      </c>
      <c r="M3632" s="12" t="inlineStr">
        <is>
          <t>2</t>
        </is>
      </c>
      <c r="N3632" s="12" t="n">
        <v>1</v>
      </c>
      <c r="O3632" s="12" t="n">
        <v>1</v>
      </c>
      <c r="P3632" s="12" t="n">
        <v>480</v>
      </c>
      <c r="Q3632" s="12" t="n">
        <v>60</v>
      </c>
      <c r="R3632" s="12" t="n">
        <v>76</v>
      </c>
      <c r="S3632" s="12" t="inlineStr">
        <is>
          <t>Duct bank</t>
        </is>
      </c>
      <c r="T3632" s="15" t="n">
        <v>300</v>
      </c>
      <c r="U3632" s="15" t="n">
        <v>32</v>
      </c>
      <c r="V3632" s="15">
        <f>ROUNDUP((T3632+U3632+2*'Read Me'!$B$13)*(1+'Read Me'!$B$12),-1)</f>
        <v/>
      </c>
      <c r="W3632" s="15">
        <f>V3632*N3632*O3632</f>
        <v/>
      </c>
      <c r="X3632" s="12">
        <f>IF(LEFT(I3632,2)="MV",2*N3632*IF(L3632="1/C",O3632,1),0)</f>
        <v/>
      </c>
      <c r="Y3632" s="12">
        <f>IF(OR(LEFT(K3632,4)="LVAX",LEFT(K3632,6)="MV15AX",LEFT(K3632,4)="CTAX",LEFT(K3632,2)="W|"),2*N3632*O3632,0)</f>
        <v/>
      </c>
      <c r="Z3632" s="12" t="inlineStr">
        <is>
          <t>VD 1.9 %</t>
        </is>
      </c>
      <c r="AA3632" s="12">
        <f>N3632*O3632</f>
        <v/>
      </c>
    </row>
    <row r="3633">
      <c r="A3633" s="12" t="inlineStr">
        <is>
          <t>G-P-0075</t>
        </is>
      </c>
      <c r="B3633" s="12" t="inlineStr">
        <is>
          <t>G</t>
        </is>
      </c>
      <c r="C3633" s="12" t="inlineStr">
        <is>
          <t>Carbon capture</t>
        </is>
      </c>
      <c r="D3633" s="12" t="inlineStr">
        <is>
          <t>480 V welding receptacle 2</t>
        </is>
      </c>
      <c r="E3633" s="12" t="inlineStr"/>
      <c r="F3633" s="12" t="inlineStr">
        <is>
          <t>CCS MV switchgear building (VFDs)</t>
        </is>
      </c>
      <c r="G3633" s="12" t="inlineStr">
        <is>
          <t>BF-B</t>
        </is>
      </c>
      <c r="H3633" s="12" t="inlineStr">
        <is>
          <t>BF-B: booster fan (~16 MW)</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5" t="n">
        <v>300</v>
      </c>
      <c r="U3633" s="15" t="n">
        <v>32</v>
      </c>
      <c r="V3633" s="15">
        <f>ROUNDUP((T3633+U3633+2*'Read Me'!$B$13)*(1+'Read Me'!$B$12),-1)</f>
        <v/>
      </c>
      <c r="W3633" s="15">
        <f>V3633*N3633*O3633</f>
        <v/>
      </c>
      <c r="X3633" s="12">
        <f>IF(LEFT(I3633,2)="MV",2*N3633*IF(L3633="1/C",O3633,1),0)</f>
        <v/>
      </c>
      <c r="Y3633" s="12">
        <f>IF(OR(LEFT(K3633,4)="LVAX",LEFT(K3633,6)="MV15AX",LEFT(K3633,4)="CTAX",LEFT(K3633,2)="W|"),2*N3633*O3633,0)</f>
        <v/>
      </c>
      <c r="Z3633" s="12" t="inlineStr">
        <is>
          <t>VD 1.9 %</t>
        </is>
      </c>
      <c r="AA3633" s="12">
        <f>N3633*O3633</f>
        <v/>
      </c>
    </row>
    <row r="3634">
      <c r="A3634" s="12" t="inlineStr">
        <is>
          <t>G-P-0076</t>
        </is>
      </c>
      <c r="B3634" s="12" t="inlineStr">
        <is>
          <t>G</t>
        </is>
      </c>
      <c r="C3634" s="12" t="inlineStr">
        <is>
          <t>Carbon capture</t>
        </is>
      </c>
      <c r="D3634" s="12" t="inlineStr">
        <is>
          <t>480 V welding receptacle 3</t>
        </is>
      </c>
      <c r="E3634" s="12" t="inlineStr"/>
      <c r="F3634" s="12" t="inlineStr">
        <is>
          <t>CCS MV switchgear building (VFDs)</t>
        </is>
      </c>
      <c r="G3634" s="12" t="inlineStr">
        <is>
          <t>BF-B</t>
        </is>
      </c>
      <c r="H3634" s="12" t="inlineStr">
        <is>
          <t>BF-B: booster fan (~16 MW)</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5" t="n">
        <v>300</v>
      </c>
      <c r="U3634" s="15" t="n">
        <v>32</v>
      </c>
      <c r="V3634" s="15">
        <f>ROUNDUP((T3634+U3634+2*'Read Me'!$B$13)*(1+'Read Me'!$B$12),-1)</f>
        <v/>
      </c>
      <c r="W3634" s="15">
        <f>V3634*N3634*O3634</f>
        <v/>
      </c>
      <c r="X3634" s="12">
        <f>IF(LEFT(I3634,2)="MV",2*N3634*IF(L3634="1/C",O3634,1),0)</f>
        <v/>
      </c>
      <c r="Y3634" s="12">
        <f>IF(OR(LEFT(K3634,4)="LVAX",LEFT(K3634,6)="MV15AX",LEFT(K3634,4)="CTAX",LEFT(K3634,2)="W|"),2*N3634*O3634,0)</f>
        <v/>
      </c>
      <c r="Z3634" s="12" t="inlineStr">
        <is>
          <t>VD 1.9 %</t>
        </is>
      </c>
      <c r="AA3634" s="12">
        <f>N3634*O3634</f>
        <v/>
      </c>
    </row>
    <row r="3635">
      <c r="A3635" s="12" t="inlineStr">
        <is>
          <t>G-P-0077</t>
        </is>
      </c>
      <c r="B3635" s="12" t="inlineStr">
        <is>
          <t>G</t>
        </is>
      </c>
      <c r="C3635" s="12" t="inlineStr">
        <is>
          <t>Carbon capture</t>
        </is>
      </c>
      <c r="D3635" s="12" t="inlineStr">
        <is>
          <t>480 V welding receptacle 4</t>
        </is>
      </c>
      <c r="E3635" s="12" t="inlineStr"/>
      <c r="F3635" s="12" t="inlineStr">
        <is>
          <t>CCS MV switchgear building (VFDs)</t>
        </is>
      </c>
      <c r="G3635" s="12" t="inlineStr">
        <is>
          <t>BF-B</t>
        </is>
      </c>
      <c r="H3635" s="12" t="inlineStr">
        <is>
          <t>BF-B: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5" t="n">
        <v>300</v>
      </c>
      <c r="U3635" s="15" t="n">
        <v>32</v>
      </c>
      <c r="V3635" s="15">
        <f>ROUNDUP((T3635+U3635+2*'Read Me'!$B$13)*(1+'Read Me'!$B$12),-1)</f>
        <v/>
      </c>
      <c r="W3635" s="15">
        <f>V3635*N3635*O3635</f>
        <v/>
      </c>
      <c r="X3635" s="12">
        <f>IF(LEFT(I3635,2)="MV",2*N3635*IF(L3635="1/C",O3635,1),0)</f>
        <v/>
      </c>
      <c r="Y3635" s="12">
        <f>IF(OR(LEFT(K3635,4)="LVAX",LEFT(K3635,6)="MV15AX",LEFT(K3635,4)="CTAX",LEFT(K3635,2)="W|"),2*N3635*O3635,0)</f>
        <v/>
      </c>
      <c r="Z3635" s="12" t="inlineStr">
        <is>
          <t>VD 1.9 %</t>
        </is>
      </c>
      <c r="AA3635" s="12">
        <f>N3635*O3635</f>
        <v/>
      </c>
    </row>
    <row r="3636">
      <c r="A3636" s="12" t="inlineStr">
        <is>
          <t>G-P-0078</t>
        </is>
      </c>
      <c r="B3636" s="12" t="inlineStr">
        <is>
          <t>G</t>
        </is>
      </c>
      <c r="C3636" s="12" t="inlineStr">
        <is>
          <t>Carbon capture</t>
        </is>
      </c>
      <c r="D3636" s="12" t="inlineStr">
        <is>
          <t>Motor 1 of 4, 15 kW</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15</v>
      </c>
      <c r="R3636" s="12" t="n">
        <v>21.2</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1.7 %</t>
        </is>
      </c>
      <c r="AA3636" s="12">
        <f>N3636*O3636</f>
        <v/>
      </c>
    </row>
    <row r="3637">
      <c r="A3637" s="12" t="inlineStr">
        <is>
          <t>G-P-0079</t>
        </is>
      </c>
      <c r="B3637" s="12" t="inlineStr">
        <is>
          <t>G</t>
        </is>
      </c>
      <c r="C3637" s="12" t="inlineStr">
        <is>
          <t>Carbon capture</t>
        </is>
      </c>
      <c r="D3637" s="12" t="inlineStr">
        <is>
          <t>Motor 2 of 4, 15 kW</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15</v>
      </c>
      <c r="R3637" s="12" t="n">
        <v>21.2</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1.7 %</t>
        </is>
      </c>
      <c r="AA3637" s="12">
        <f>N3637*O3637</f>
        <v/>
      </c>
    </row>
    <row r="3638">
      <c r="A3638" s="12" t="inlineStr">
        <is>
          <t>G-P-0080</t>
        </is>
      </c>
      <c r="B3638" s="12" t="inlineStr">
        <is>
          <t>G</t>
        </is>
      </c>
      <c r="C3638" s="12" t="inlineStr">
        <is>
          <t>Carbon capture</t>
        </is>
      </c>
      <c r="D3638" s="12" t="inlineStr">
        <is>
          <t>Motor 3 of 4, 15 kW</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15</v>
      </c>
      <c r="R3638" s="12" t="n">
        <v>21.2</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1.7 %</t>
        </is>
      </c>
      <c r="AA3638" s="12">
        <f>N3638*O3638</f>
        <v/>
      </c>
    </row>
    <row r="3639">
      <c r="A3639" s="12" t="inlineStr">
        <is>
          <t>G-P-0081</t>
        </is>
      </c>
      <c r="B3639" s="12" t="inlineStr">
        <is>
          <t>G</t>
        </is>
      </c>
      <c r="C3639" s="12" t="inlineStr">
        <is>
          <t>Carbon capture</t>
        </is>
      </c>
      <c r="D3639" s="12" t="inlineStr">
        <is>
          <t>Motor 4 of 4, 15 kW</t>
        </is>
      </c>
      <c r="E3639" s="12" t="inlineStr"/>
      <c r="F3639" s="12" t="inlineStr">
        <is>
          <t>CCS MV switchgear building (VFDs)</t>
        </is>
      </c>
      <c r="G3639" s="12" t="inlineStr">
        <is>
          <t>BF-C</t>
        </is>
      </c>
      <c r="H3639" s="12" t="inlineStr">
        <is>
          <t>BF-C: booster fan (~16 MW)</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15</v>
      </c>
      <c r="R3639" s="12" t="n">
        <v>21.2</v>
      </c>
      <c r="S3639" s="12" t="inlineStr">
        <is>
          <t>Tray</t>
        </is>
      </c>
      <c r="T3639" s="15" t="n">
        <v>16</v>
      </c>
      <c r="U3639" s="15" t="n">
        <v>150</v>
      </c>
      <c r="V3639" s="15">
        <f>ROUNDUP((T3639+U3639+2*'Read Me'!$B$13)*(1+'Read Me'!$B$12),-1)</f>
        <v/>
      </c>
      <c r="W3639" s="15">
        <f>V3639*N3639*O3639</f>
        <v/>
      </c>
      <c r="X3639" s="12">
        <f>IF(LEFT(I3639,2)="MV",2*N3639*IF(L3639="1/C",O3639,1),0)</f>
        <v/>
      </c>
      <c r="Y3639" s="12">
        <f>IF(OR(LEFT(K3639,4)="LVAX",LEFT(K3639,6)="MV15AX",LEFT(K3639,4)="CTAX",LEFT(K3639,2)="W|"),2*N3639*O3639,0)</f>
        <v/>
      </c>
      <c r="Z3639" s="12" t="inlineStr">
        <is>
          <t>VD 1.7 %</t>
        </is>
      </c>
      <c r="AA3639" s="12">
        <f>N3639*O3639</f>
        <v/>
      </c>
    </row>
    <row r="3640">
      <c r="A3640" s="12" t="inlineStr">
        <is>
          <t>G-P-0082</t>
        </is>
      </c>
      <c r="B3640" s="12" t="inlineStr">
        <is>
          <t>G</t>
        </is>
      </c>
      <c r="C3640" s="12" t="inlineStr">
        <is>
          <t>Carbon capture</t>
        </is>
      </c>
      <c r="D3640" s="12" t="inlineStr">
        <is>
          <t>480 V welding receptacle 1</t>
        </is>
      </c>
      <c r="E3640" s="12" t="inlineStr"/>
      <c r="F3640" s="12" t="inlineStr">
        <is>
          <t>CCS MV switchgear building (VFDs)</t>
        </is>
      </c>
      <c r="G3640" s="12" t="inlineStr">
        <is>
          <t>BF-C</t>
        </is>
      </c>
      <c r="H3640" s="12" t="inlineStr">
        <is>
          <t>BF-C: booster fan (~16 MW)</t>
        </is>
      </c>
      <c r="I3640" s="12" t="inlineStr">
        <is>
          <t>LV 600 V</t>
        </is>
      </c>
      <c r="J3640" s="12" t="inlineStr">
        <is>
          <t>Type TC-ER 600 V 3/C Cu XHHW-2 + ground, PVC jacket</t>
        </is>
      </c>
      <c r="K3640" s="12" t="inlineStr">
        <is>
          <t>LV|3/C+G|2</t>
        </is>
      </c>
      <c r="L3640" s="12" t="inlineStr">
        <is>
          <t>3/C+G</t>
        </is>
      </c>
      <c r="M3640" s="12" t="inlineStr">
        <is>
          <t>2</t>
        </is>
      </c>
      <c r="N3640" s="12" t="n">
        <v>1</v>
      </c>
      <c r="O3640" s="12" t="n">
        <v>1</v>
      </c>
      <c r="P3640" s="12" t="n">
        <v>480</v>
      </c>
      <c r="Q3640" s="12" t="n">
        <v>60</v>
      </c>
      <c r="R3640" s="12" t="n">
        <v>76</v>
      </c>
      <c r="S3640" s="12" t="inlineStr">
        <is>
          <t>Tray</t>
        </is>
      </c>
      <c r="T3640" s="15" t="n">
        <v>16</v>
      </c>
      <c r="U3640" s="15" t="n">
        <v>150</v>
      </c>
      <c r="V3640" s="15">
        <f>ROUNDUP((T3640+U3640+2*'Read Me'!$B$13)*(1+'Read Me'!$B$12),-1)</f>
        <v/>
      </c>
      <c r="W3640" s="15">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G-P-0083</t>
        </is>
      </c>
      <c r="B3641" s="12" t="inlineStr">
        <is>
          <t>G</t>
        </is>
      </c>
      <c r="C3641" s="12" t="inlineStr">
        <is>
          <t>Carbon capture</t>
        </is>
      </c>
      <c r="D3641" s="12" t="inlineStr">
        <is>
          <t>480 V welding receptacle 2</t>
        </is>
      </c>
      <c r="E3641" s="12" t="inlineStr"/>
      <c r="F3641" s="12" t="inlineStr">
        <is>
          <t>CCS MV switchgear building (VFDs)</t>
        </is>
      </c>
      <c r="G3641" s="12" t="inlineStr">
        <is>
          <t>BF-C</t>
        </is>
      </c>
      <c r="H3641" s="12" t="inlineStr">
        <is>
          <t>BF-C: booster fan (~16 MW)</t>
        </is>
      </c>
      <c r="I3641" s="12" t="inlineStr">
        <is>
          <t>LV 600 V</t>
        </is>
      </c>
      <c r="J3641" s="12" t="inlineStr">
        <is>
          <t>Type TC-ER 600 V 3/C Cu XHHW-2 + ground, PVC jacket</t>
        </is>
      </c>
      <c r="K3641" s="12" t="inlineStr">
        <is>
          <t>LV|3/C+G|2</t>
        </is>
      </c>
      <c r="L3641" s="12" t="inlineStr">
        <is>
          <t>3/C+G</t>
        </is>
      </c>
      <c r="M3641" s="12" t="inlineStr">
        <is>
          <t>2</t>
        </is>
      </c>
      <c r="N3641" s="12" t="n">
        <v>1</v>
      </c>
      <c r="O3641" s="12" t="n">
        <v>1</v>
      </c>
      <c r="P3641" s="12" t="n">
        <v>480</v>
      </c>
      <c r="Q3641" s="12" t="n">
        <v>60</v>
      </c>
      <c r="R3641" s="12" t="n">
        <v>76</v>
      </c>
      <c r="S3641" s="12" t="inlineStr">
        <is>
          <t>Tray</t>
        </is>
      </c>
      <c r="T3641" s="15" t="n">
        <v>16</v>
      </c>
      <c r="U3641" s="15" t="n">
        <v>150</v>
      </c>
      <c r="V3641" s="15">
        <f>ROUNDUP((T3641+U3641+2*'Read Me'!$B$13)*(1+'Read Me'!$B$12),-1)</f>
        <v/>
      </c>
      <c r="W3641" s="15">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G-P-0084</t>
        </is>
      </c>
      <c r="B3642" s="12" t="inlineStr">
        <is>
          <t>G</t>
        </is>
      </c>
      <c r="C3642" s="12" t="inlineStr">
        <is>
          <t>Carbon capture</t>
        </is>
      </c>
      <c r="D3642" s="12" t="inlineStr">
        <is>
          <t>480 V welding receptacle 3</t>
        </is>
      </c>
      <c r="E3642" s="12" t="inlineStr"/>
      <c r="F3642" s="12" t="inlineStr">
        <is>
          <t>CCS MV switchgear building (VFDs)</t>
        </is>
      </c>
      <c r="G3642" s="12" t="inlineStr">
        <is>
          <t>BF-C</t>
        </is>
      </c>
      <c r="H3642" s="12" t="inlineStr">
        <is>
          <t>BF-C: booster fan (~16 MW)</t>
        </is>
      </c>
      <c r="I3642" s="12" t="inlineStr">
        <is>
          <t>LV 600 V</t>
        </is>
      </c>
      <c r="J3642" s="12" t="inlineStr">
        <is>
          <t>Type TC-ER 600 V 3/C Cu XHHW-2 + ground, PVC jacket</t>
        </is>
      </c>
      <c r="K3642" s="12" t="inlineStr">
        <is>
          <t>LV|3/C+G|2</t>
        </is>
      </c>
      <c r="L3642" s="12" t="inlineStr">
        <is>
          <t>3/C+G</t>
        </is>
      </c>
      <c r="M3642" s="12" t="inlineStr">
        <is>
          <t>2</t>
        </is>
      </c>
      <c r="N3642" s="12" t="n">
        <v>1</v>
      </c>
      <c r="O3642" s="12" t="n">
        <v>1</v>
      </c>
      <c r="P3642" s="12" t="n">
        <v>480</v>
      </c>
      <c r="Q3642" s="12" t="n">
        <v>60</v>
      </c>
      <c r="R3642" s="12" t="n">
        <v>76</v>
      </c>
      <c r="S3642" s="12" t="inlineStr">
        <is>
          <t>Tray</t>
        </is>
      </c>
      <c r="T3642" s="15" t="n">
        <v>16</v>
      </c>
      <c r="U3642" s="15" t="n">
        <v>150</v>
      </c>
      <c r="V3642" s="15">
        <f>ROUNDUP((T3642+U3642+2*'Read Me'!$B$13)*(1+'Read Me'!$B$12),-1)</f>
        <v/>
      </c>
      <c r="W3642" s="15">
        <f>V3642*N3642*O3642</f>
        <v/>
      </c>
      <c r="X3642" s="12">
        <f>IF(LEFT(I3642,2)="MV",2*N3642*IF(L3642="1/C",O3642,1),0)</f>
        <v/>
      </c>
      <c r="Y3642" s="12">
        <f>IF(OR(LEFT(K3642,4)="LVAX",LEFT(K3642,6)="MV15AX",LEFT(K3642,4)="CTAX",LEFT(K3642,2)="W|"),2*N3642*O3642,0)</f>
        <v/>
      </c>
      <c r="Z3642" s="12" t="inlineStr">
        <is>
          <t>VD 1.0 %</t>
        </is>
      </c>
      <c r="AA3642" s="12">
        <f>N3642*O3642</f>
        <v/>
      </c>
    </row>
    <row r="3643">
      <c r="A3643" s="12" t="inlineStr">
        <is>
          <t>G-P-0085</t>
        </is>
      </c>
      <c r="B3643" s="12" t="inlineStr">
        <is>
          <t>G</t>
        </is>
      </c>
      <c r="C3643" s="12" t="inlineStr">
        <is>
          <t>Carbon capture</t>
        </is>
      </c>
      <c r="D3643" s="12" t="inlineStr">
        <is>
          <t>480 V welding receptacle 4</t>
        </is>
      </c>
      <c r="E3643" s="12" t="inlineStr"/>
      <c r="F3643" s="12" t="inlineStr">
        <is>
          <t>CCS MV switchgear building (VFDs)</t>
        </is>
      </c>
      <c r="G3643" s="12" t="inlineStr">
        <is>
          <t>BF-C</t>
        </is>
      </c>
      <c r="H3643" s="12" t="inlineStr">
        <is>
          <t>BF-C: booster fan (~16 MW)</t>
        </is>
      </c>
      <c r="I3643" s="12" t="inlineStr">
        <is>
          <t>LV 600 V</t>
        </is>
      </c>
      <c r="J3643" s="12" t="inlineStr">
        <is>
          <t>Type TC-ER 600 V 3/C Cu XHHW-2 + ground, PVC jacket</t>
        </is>
      </c>
      <c r="K3643" s="12" t="inlineStr">
        <is>
          <t>LV|3/C+G|2</t>
        </is>
      </c>
      <c r="L3643" s="12" t="inlineStr">
        <is>
          <t>3/C+G</t>
        </is>
      </c>
      <c r="M3643" s="12" t="inlineStr">
        <is>
          <t>2</t>
        </is>
      </c>
      <c r="N3643" s="12" t="n">
        <v>1</v>
      </c>
      <c r="O3643" s="12" t="n">
        <v>1</v>
      </c>
      <c r="P3643" s="12" t="n">
        <v>480</v>
      </c>
      <c r="Q3643" s="12" t="n">
        <v>60</v>
      </c>
      <c r="R3643" s="12" t="n">
        <v>76</v>
      </c>
      <c r="S3643" s="12" t="inlineStr">
        <is>
          <t>Tray</t>
        </is>
      </c>
      <c r="T3643" s="15" t="n">
        <v>16</v>
      </c>
      <c r="U3643" s="15" t="n">
        <v>150</v>
      </c>
      <c r="V3643" s="15">
        <f>ROUNDUP((T3643+U3643+2*'Read Me'!$B$13)*(1+'Read Me'!$B$12),-1)</f>
        <v/>
      </c>
      <c r="W3643" s="15">
        <f>V3643*N3643*O3643</f>
        <v/>
      </c>
      <c r="X3643" s="12">
        <f>IF(LEFT(I3643,2)="MV",2*N3643*IF(L3643="1/C",O3643,1),0)</f>
        <v/>
      </c>
      <c r="Y3643" s="12">
        <f>IF(OR(LEFT(K3643,4)="LVAX",LEFT(K3643,6)="MV15AX",LEFT(K3643,4)="CTAX",LEFT(K3643,2)="W|"),2*N3643*O3643,0)</f>
        <v/>
      </c>
      <c r="Z3643" s="12" t="inlineStr">
        <is>
          <t>VD 1.0 %</t>
        </is>
      </c>
      <c r="AA3643" s="12">
        <f>N3643*O3643</f>
        <v/>
      </c>
    </row>
    <row r="3644">
      <c r="A3644" s="12" t="inlineStr">
        <is>
          <t>G-P-0086</t>
        </is>
      </c>
      <c r="B3644" s="12" t="inlineStr">
        <is>
          <t>G</t>
        </is>
      </c>
      <c r="C3644" s="12" t="inlineStr">
        <is>
          <t>Carbon capture</t>
        </is>
      </c>
      <c r="D3644" s="12" t="inlineStr">
        <is>
          <t>LV panel / distribution feeder</t>
        </is>
      </c>
      <c r="E3644" s="12" t="inlineStr"/>
      <c r="F3644" s="12" t="inlineStr">
        <is>
          <t>CCS MV switchgear building (VFDs)</t>
        </is>
      </c>
      <c r="G3644" s="12" t="inlineStr"/>
      <c r="H3644" s="12" t="inlineStr">
        <is>
          <t>CCS F&amp;G / control</t>
        </is>
      </c>
      <c r="I3644" s="12" t="inlineStr">
        <is>
          <t>LV 600 V</t>
        </is>
      </c>
      <c r="J3644" s="12" t="inlineStr">
        <is>
          <t>Type TC-ER 600 V 3/C Cu XHHW-2 + ground, PVC jacket</t>
        </is>
      </c>
      <c r="K3644" s="12" t="inlineStr">
        <is>
          <t>LV|3/C+G|4</t>
        </is>
      </c>
      <c r="L3644" s="12" t="inlineStr">
        <is>
          <t>3/C+G</t>
        </is>
      </c>
      <c r="M3644" s="12" t="inlineStr">
        <is>
          <t>4</t>
        </is>
      </c>
      <c r="N3644" s="12" t="n">
        <v>1</v>
      </c>
      <c r="O3644" s="12" t="n">
        <v>1</v>
      </c>
      <c r="P3644" s="12" t="n">
        <v>480</v>
      </c>
      <c r="Q3644" s="12" t="n">
        <v>40</v>
      </c>
      <c r="R3644" s="12" t="n">
        <v>56.6</v>
      </c>
      <c r="S3644" s="12" t="inlineStr">
        <is>
          <t>Duct bank</t>
        </is>
      </c>
      <c r="T3644" s="15" t="n">
        <v>206</v>
      </c>
      <c r="U3644" s="15" t="n">
        <v>101</v>
      </c>
      <c r="V3644" s="15">
        <f>ROUNDUP((T3644+U3644+2*'Read Me'!$B$13)*(1+'Read Me'!$B$12),-1)</f>
        <v/>
      </c>
      <c r="W3644" s="15">
        <f>V3644*N3644*O3644</f>
        <v/>
      </c>
      <c r="X3644" s="12">
        <f>IF(LEFT(I3644,2)="MV",2*N3644*IF(L3644="1/C",O3644,1),0)</f>
        <v/>
      </c>
      <c r="Y3644" s="12">
        <f>IF(OR(LEFT(K3644,4)="LVAX",LEFT(K3644,6)="MV15AX",LEFT(K3644,4)="CTAX",LEFT(K3644,2)="W|"),2*N3644*O3644,0)</f>
        <v/>
      </c>
      <c r="Z3644" s="12" t="inlineStr">
        <is>
          <t>VD 2.1 %</t>
        </is>
      </c>
      <c r="AA3644" s="12">
        <f>N3644*O3644</f>
        <v/>
      </c>
    </row>
    <row r="3645">
      <c r="A3645" s="12" t="inlineStr">
        <is>
          <t>G-P-0087</t>
        </is>
      </c>
      <c r="B3645" s="12" t="inlineStr">
        <is>
          <t>G</t>
        </is>
      </c>
      <c r="C3645" s="12" t="inlineStr">
        <is>
          <t>Carbon capture</t>
        </is>
      </c>
      <c r="D3645" s="12" t="inlineStr">
        <is>
          <t>LV panel / distribution feeder</t>
        </is>
      </c>
      <c r="E3645" s="12" t="inlineStr"/>
      <c r="F3645" s="12" t="inlineStr">
        <is>
          <t>CCS MV switchgear building (VFDs)</t>
        </is>
      </c>
      <c r="G3645" s="12" t="inlineStr"/>
      <c r="H3645" s="12" t="inlineStr">
        <is>
          <t>CCS MV switchgear building (VFDs)</t>
        </is>
      </c>
      <c r="I3645" s="12" t="inlineStr">
        <is>
          <t>LV 600 V</t>
        </is>
      </c>
      <c r="J3645" s="12" t="inlineStr">
        <is>
          <t>Type TC-ER 600 V 3/C Cu XHHW-2 + ground, PVC jacket</t>
        </is>
      </c>
      <c r="K3645" s="12" t="inlineStr">
        <is>
          <t>LV|3/C+G|3/0</t>
        </is>
      </c>
      <c r="L3645" s="12" t="inlineStr">
        <is>
          <t>3/C+G</t>
        </is>
      </c>
      <c r="M3645" s="12" t="inlineStr">
        <is>
          <t>3/0</t>
        </is>
      </c>
      <c r="N3645" s="12" t="n">
        <v>1</v>
      </c>
      <c r="O3645" s="12" t="n">
        <v>1</v>
      </c>
      <c r="P3645" s="12" t="n">
        <v>480</v>
      </c>
      <c r="Q3645" s="12" t="n">
        <v>109</v>
      </c>
      <c r="R3645" s="12" t="n">
        <v>154.2</v>
      </c>
      <c r="S3645" s="12" t="inlineStr">
        <is>
          <t>Tray</t>
        </is>
      </c>
      <c r="T3645" s="15" t="n">
        <v>0</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0.2 %</t>
        </is>
      </c>
      <c r="AA3645" s="12">
        <f>N3645*O3645</f>
        <v/>
      </c>
    </row>
    <row r="3646">
      <c r="A3646" s="12" t="inlineStr">
        <is>
          <t>G-P-0088</t>
        </is>
      </c>
      <c r="B3646" s="12" t="inlineStr">
        <is>
          <t>G</t>
        </is>
      </c>
      <c r="C3646" s="12" t="inlineStr">
        <is>
          <t>Carbon capture</t>
        </is>
      </c>
      <c r="D3646" s="12" t="inlineStr">
        <is>
          <t>Motor 1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G-P-0089</t>
        </is>
      </c>
      <c r="B3647" s="12" t="inlineStr">
        <is>
          <t>G</t>
        </is>
      </c>
      <c r="C3647" s="12" t="inlineStr">
        <is>
          <t>Carbon capture</t>
        </is>
      </c>
      <c r="D3647" s="12" t="inlineStr">
        <is>
          <t>Motor 2 of 6, 2 kW</t>
        </is>
      </c>
      <c r="E3647" s="12" t="inlineStr"/>
      <c r="F3647" s="12" t="inlineStr">
        <is>
          <t>CCS MV switchgear building (VFDs)</t>
        </is>
      </c>
      <c r="G3647" s="12" t="inlineStr">
        <is>
          <t>CCS T-1</t>
        </is>
      </c>
      <c r="H3647" s="12" t="inlineStr">
        <is>
          <t>CCS T-1: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361</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0.5 %</t>
        </is>
      </c>
      <c r="AA3647" s="12">
        <f>N3647*O3647</f>
        <v/>
      </c>
    </row>
    <row r="3648">
      <c r="A3648" s="12" t="inlineStr">
        <is>
          <t>G-P-0090</t>
        </is>
      </c>
      <c r="B3648" s="12" t="inlineStr">
        <is>
          <t>G</t>
        </is>
      </c>
      <c r="C3648" s="12" t="inlineStr">
        <is>
          <t>Carbon capture</t>
        </is>
      </c>
      <c r="D3648" s="12" t="inlineStr">
        <is>
          <t>Motor 3 of 6, 2 kW</t>
        </is>
      </c>
      <c r="E3648" s="12" t="inlineStr"/>
      <c r="F3648" s="12" t="inlineStr">
        <is>
          <t>CCS MV switchgear building (VFDs)</t>
        </is>
      </c>
      <c r="G3648" s="12" t="inlineStr">
        <is>
          <t>CCS T-1</t>
        </is>
      </c>
      <c r="H3648" s="12" t="inlineStr">
        <is>
          <t>CCS T-1: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361</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0.5 %</t>
        </is>
      </c>
      <c r="AA3648" s="12">
        <f>N3648*O3648</f>
        <v/>
      </c>
    </row>
    <row r="3649">
      <c r="A3649" s="12" t="inlineStr">
        <is>
          <t>G-P-0091</t>
        </is>
      </c>
      <c r="B3649" s="12" t="inlineStr">
        <is>
          <t>G</t>
        </is>
      </c>
      <c r="C3649" s="12" t="inlineStr">
        <is>
          <t>Carbon capture</t>
        </is>
      </c>
      <c r="D3649" s="12" t="inlineStr">
        <is>
          <t>Motor 4 of 6, 2 kW</t>
        </is>
      </c>
      <c r="E3649" s="12" t="inlineStr"/>
      <c r="F3649" s="12" t="inlineStr">
        <is>
          <t>CCS MV switchgear building (VFDs)</t>
        </is>
      </c>
      <c r="G3649" s="12" t="inlineStr">
        <is>
          <t>CCS T-1</t>
        </is>
      </c>
      <c r="H3649" s="12" t="inlineStr">
        <is>
          <t>CCS T-1: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361</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0.5 %</t>
        </is>
      </c>
      <c r="AA3649" s="12">
        <f>N3649*O3649</f>
        <v/>
      </c>
    </row>
    <row r="3650">
      <c r="A3650" s="12" t="inlineStr">
        <is>
          <t>G-P-0092</t>
        </is>
      </c>
      <c r="B3650" s="12" t="inlineStr">
        <is>
          <t>G</t>
        </is>
      </c>
      <c r="C3650" s="12" t="inlineStr">
        <is>
          <t>Carbon capture</t>
        </is>
      </c>
      <c r="D3650" s="12" t="inlineStr">
        <is>
          <t>Motor 5 of 6, 2 kW</t>
        </is>
      </c>
      <c r="E3650" s="12" t="inlineStr"/>
      <c r="F3650" s="12" t="inlineStr">
        <is>
          <t>CCS MV switchgear building (VFDs)</t>
        </is>
      </c>
      <c r="G3650" s="12" t="inlineStr">
        <is>
          <t>CCS T-1</t>
        </is>
      </c>
      <c r="H3650" s="12" t="inlineStr">
        <is>
          <t>CCS T-1: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361</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0.5 %</t>
        </is>
      </c>
      <c r="AA3650" s="12">
        <f>N3650*O3650</f>
        <v/>
      </c>
    </row>
    <row r="3651">
      <c r="A3651" s="12" t="inlineStr">
        <is>
          <t>G-P-0093</t>
        </is>
      </c>
      <c r="B3651" s="12" t="inlineStr">
        <is>
          <t>G</t>
        </is>
      </c>
      <c r="C3651" s="12" t="inlineStr">
        <is>
          <t>Carbon capture</t>
        </is>
      </c>
      <c r="D3651" s="12" t="inlineStr">
        <is>
          <t>Motor 6 of 6, 2 kW</t>
        </is>
      </c>
      <c r="E3651" s="12" t="inlineStr"/>
      <c r="F3651" s="12" t="inlineStr">
        <is>
          <t>CCS MV switchgear building (VFDs)</t>
        </is>
      </c>
      <c r="G3651" s="12" t="inlineStr">
        <is>
          <t>CCS T-1</t>
        </is>
      </c>
      <c r="H3651" s="12" t="inlineStr">
        <is>
          <t>CCS T-1: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361</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0.5 %</t>
        </is>
      </c>
      <c r="AA3651" s="12">
        <f>N3651*O3651</f>
        <v/>
      </c>
    </row>
    <row r="3652">
      <c r="A3652" s="12" t="inlineStr">
        <is>
          <t>G-P-0094</t>
        </is>
      </c>
      <c r="B3652" s="12" t="inlineStr">
        <is>
          <t>G</t>
        </is>
      </c>
      <c r="C3652" s="12" t="inlineStr">
        <is>
          <t>Carbon capture</t>
        </is>
      </c>
      <c r="D3652" s="12" t="inlineStr">
        <is>
          <t>Motor 1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G-P-0095</t>
        </is>
      </c>
      <c r="B3653" s="12" t="inlineStr">
        <is>
          <t>G</t>
        </is>
      </c>
      <c r="C3653" s="12" t="inlineStr">
        <is>
          <t>Carbon capture</t>
        </is>
      </c>
      <c r="D3653" s="12" t="inlineStr">
        <is>
          <t>Motor 2 of 6, 2 kW</t>
        </is>
      </c>
      <c r="E3653" s="12" t="inlineStr"/>
      <c r="F3653" s="12" t="inlineStr">
        <is>
          <t>CCS MV switchgear building (VFDs)</t>
        </is>
      </c>
      <c r="G3653" s="12" t="inlineStr">
        <is>
          <t>CCS T-2</t>
        </is>
      </c>
      <c r="H3653" s="12" t="inlineStr">
        <is>
          <t>CCS T-2: 230/13.8 kV</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v>
      </c>
      <c r="R3653" s="12" t="n">
        <v>2.8</v>
      </c>
      <c r="S3653" s="12" t="inlineStr">
        <is>
          <t>Duct bank</t>
        </is>
      </c>
      <c r="T3653" s="15" t="n">
        <v>409</v>
      </c>
      <c r="U3653" s="15" t="n">
        <v>32</v>
      </c>
      <c r="V3653" s="15">
        <f>ROUNDUP((T3653+U3653+2*'Read Me'!$B$13)*(1+'Read Me'!$B$12),-1)</f>
        <v/>
      </c>
      <c r="W3653" s="15">
        <f>V3653*N3653*O3653</f>
        <v/>
      </c>
      <c r="X3653" s="12">
        <f>IF(LEFT(I3653,2)="MV",2*N3653*IF(L3653="1/C",O3653,1),0)</f>
        <v/>
      </c>
      <c r="Y3653" s="12">
        <f>IF(OR(LEFT(K3653,4)="LVAX",LEFT(K3653,6)="MV15AX",LEFT(K3653,4)="CTAX",LEFT(K3653,2)="W|"),2*N3653*O3653,0)</f>
        <v/>
      </c>
      <c r="Z3653" s="12" t="inlineStr">
        <is>
          <t>VD 0.6 %</t>
        </is>
      </c>
      <c r="AA3653" s="12">
        <f>N3653*O3653</f>
        <v/>
      </c>
    </row>
    <row r="3654">
      <c r="A3654" s="12" t="inlineStr">
        <is>
          <t>G-P-0096</t>
        </is>
      </c>
      <c r="B3654" s="12" t="inlineStr">
        <is>
          <t>G</t>
        </is>
      </c>
      <c r="C3654" s="12" t="inlineStr">
        <is>
          <t>Carbon capture</t>
        </is>
      </c>
      <c r="D3654" s="12" t="inlineStr">
        <is>
          <t>Motor 3 of 6, 2 kW</t>
        </is>
      </c>
      <c r="E3654" s="12" t="inlineStr"/>
      <c r="F3654" s="12" t="inlineStr">
        <is>
          <t>CCS MV switchgear building (VFDs)</t>
        </is>
      </c>
      <c r="G3654" s="12" t="inlineStr">
        <is>
          <t>CCS T-2</t>
        </is>
      </c>
      <c r="H3654" s="12" t="inlineStr">
        <is>
          <t>CCS T-2: 230/13.8 kV</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v>
      </c>
      <c r="R3654" s="12" t="n">
        <v>2.8</v>
      </c>
      <c r="S3654" s="12" t="inlineStr">
        <is>
          <t>Duct bank</t>
        </is>
      </c>
      <c r="T3654" s="15" t="n">
        <v>409</v>
      </c>
      <c r="U3654" s="15" t="n">
        <v>32</v>
      </c>
      <c r="V3654" s="15">
        <f>ROUNDUP((T3654+U3654+2*'Read Me'!$B$13)*(1+'Read Me'!$B$12),-1)</f>
        <v/>
      </c>
      <c r="W3654" s="15">
        <f>V3654*N3654*O3654</f>
        <v/>
      </c>
      <c r="X3654" s="12">
        <f>IF(LEFT(I3654,2)="MV",2*N3654*IF(L3654="1/C",O3654,1),0)</f>
        <v/>
      </c>
      <c r="Y3654" s="12">
        <f>IF(OR(LEFT(K3654,4)="LVAX",LEFT(K3654,6)="MV15AX",LEFT(K3654,4)="CTAX",LEFT(K3654,2)="W|"),2*N3654*O3654,0)</f>
        <v/>
      </c>
      <c r="Z3654" s="12" t="inlineStr">
        <is>
          <t>VD 0.6 %</t>
        </is>
      </c>
      <c r="AA3654" s="12">
        <f>N3654*O3654</f>
        <v/>
      </c>
    </row>
    <row r="3655">
      <c r="A3655" s="12" t="inlineStr">
        <is>
          <t>G-P-0097</t>
        </is>
      </c>
      <c r="B3655" s="12" t="inlineStr">
        <is>
          <t>G</t>
        </is>
      </c>
      <c r="C3655" s="12" t="inlineStr">
        <is>
          <t>Carbon capture</t>
        </is>
      </c>
      <c r="D3655" s="12" t="inlineStr">
        <is>
          <t>Motor 4 of 6, 2 kW</t>
        </is>
      </c>
      <c r="E3655" s="12" t="inlineStr"/>
      <c r="F3655" s="12" t="inlineStr">
        <is>
          <t>CCS MV switchgear building (VFDs)</t>
        </is>
      </c>
      <c r="G3655" s="12" t="inlineStr">
        <is>
          <t>CCS T-2</t>
        </is>
      </c>
      <c r="H3655" s="12" t="inlineStr">
        <is>
          <t>CCS T-2: 230/13.8 kV</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v>
      </c>
      <c r="R3655" s="12" t="n">
        <v>2.8</v>
      </c>
      <c r="S3655" s="12" t="inlineStr">
        <is>
          <t>Duct bank</t>
        </is>
      </c>
      <c r="T3655" s="15" t="n">
        <v>409</v>
      </c>
      <c r="U3655" s="15" t="n">
        <v>32</v>
      </c>
      <c r="V3655" s="15">
        <f>ROUNDUP((T3655+U3655+2*'Read Me'!$B$13)*(1+'Read Me'!$B$12),-1)</f>
        <v/>
      </c>
      <c r="W3655" s="15">
        <f>V3655*N3655*O3655</f>
        <v/>
      </c>
      <c r="X3655" s="12">
        <f>IF(LEFT(I3655,2)="MV",2*N3655*IF(L3655="1/C",O3655,1),0)</f>
        <v/>
      </c>
      <c r="Y3655" s="12">
        <f>IF(OR(LEFT(K3655,4)="LVAX",LEFT(K3655,6)="MV15AX",LEFT(K3655,4)="CTAX",LEFT(K3655,2)="W|"),2*N3655*O3655,0)</f>
        <v/>
      </c>
      <c r="Z3655" s="12" t="inlineStr">
        <is>
          <t>VD 0.6 %</t>
        </is>
      </c>
      <c r="AA3655" s="12">
        <f>N3655*O3655</f>
        <v/>
      </c>
    </row>
    <row r="3656">
      <c r="A3656" s="12" t="inlineStr">
        <is>
          <t>G-P-0098</t>
        </is>
      </c>
      <c r="B3656" s="12" t="inlineStr">
        <is>
          <t>G</t>
        </is>
      </c>
      <c r="C3656" s="12" t="inlineStr">
        <is>
          <t>Carbon capture</t>
        </is>
      </c>
      <c r="D3656" s="12" t="inlineStr">
        <is>
          <t>Motor 5 of 6, 2 kW</t>
        </is>
      </c>
      <c r="E3656" s="12" t="inlineStr"/>
      <c r="F3656" s="12" t="inlineStr">
        <is>
          <t>CCS MV switchgear building (VFDs)</t>
        </is>
      </c>
      <c r="G3656" s="12" t="inlineStr">
        <is>
          <t>CCS T-2</t>
        </is>
      </c>
      <c r="H3656" s="12" t="inlineStr">
        <is>
          <t>CCS T-2: 230/13.8 kV</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v>
      </c>
      <c r="R3656" s="12" t="n">
        <v>2.8</v>
      </c>
      <c r="S3656" s="12" t="inlineStr">
        <is>
          <t>Duct bank</t>
        </is>
      </c>
      <c r="T3656" s="15" t="n">
        <v>409</v>
      </c>
      <c r="U3656" s="15" t="n">
        <v>32</v>
      </c>
      <c r="V3656" s="15">
        <f>ROUNDUP((T3656+U3656+2*'Read Me'!$B$13)*(1+'Read Me'!$B$12),-1)</f>
        <v/>
      </c>
      <c r="W3656" s="15">
        <f>V3656*N3656*O3656</f>
        <v/>
      </c>
      <c r="X3656" s="12">
        <f>IF(LEFT(I3656,2)="MV",2*N3656*IF(L3656="1/C",O3656,1),0)</f>
        <v/>
      </c>
      <c r="Y3656" s="12">
        <f>IF(OR(LEFT(K3656,4)="LVAX",LEFT(K3656,6)="MV15AX",LEFT(K3656,4)="CTAX",LEFT(K3656,2)="W|"),2*N3656*O3656,0)</f>
        <v/>
      </c>
      <c r="Z3656" s="12" t="inlineStr">
        <is>
          <t>VD 0.6 %</t>
        </is>
      </c>
      <c r="AA3656" s="12">
        <f>N3656*O3656</f>
        <v/>
      </c>
    </row>
    <row r="3657">
      <c r="A3657" s="12" t="inlineStr">
        <is>
          <t>G-P-0099</t>
        </is>
      </c>
      <c r="B3657" s="12" t="inlineStr">
        <is>
          <t>G</t>
        </is>
      </c>
      <c r="C3657" s="12" t="inlineStr">
        <is>
          <t>Carbon capture</t>
        </is>
      </c>
      <c r="D3657" s="12" t="inlineStr">
        <is>
          <t>Motor 6 of 6, 2 kW</t>
        </is>
      </c>
      <c r="E3657" s="12" t="inlineStr"/>
      <c r="F3657" s="12" t="inlineStr">
        <is>
          <t>CCS MV switchgear building (VFDs)</t>
        </is>
      </c>
      <c r="G3657" s="12" t="inlineStr">
        <is>
          <t>CCS T-2</t>
        </is>
      </c>
      <c r="H3657" s="12" t="inlineStr">
        <is>
          <t>CCS T-2: 230/13.8 kV</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v>
      </c>
      <c r="R3657" s="12" t="n">
        <v>2.8</v>
      </c>
      <c r="S3657" s="12" t="inlineStr">
        <is>
          <t>Duct bank</t>
        </is>
      </c>
      <c r="T3657" s="15" t="n">
        <v>409</v>
      </c>
      <c r="U3657" s="15" t="n">
        <v>32</v>
      </c>
      <c r="V3657" s="15">
        <f>ROUNDUP((T3657+U3657+2*'Read Me'!$B$13)*(1+'Read Me'!$B$12),-1)</f>
        <v/>
      </c>
      <c r="W3657" s="15">
        <f>V3657*N3657*O3657</f>
        <v/>
      </c>
      <c r="X3657" s="12">
        <f>IF(LEFT(I3657,2)="MV",2*N3657*IF(L3657="1/C",O3657,1),0)</f>
        <v/>
      </c>
      <c r="Y3657" s="12">
        <f>IF(OR(LEFT(K3657,4)="LVAX",LEFT(K3657,6)="MV15AX",LEFT(K3657,4)="CTAX",LEFT(K3657,2)="W|"),2*N3657*O3657,0)</f>
        <v/>
      </c>
      <c r="Z3657" s="12" t="inlineStr">
        <is>
          <t>VD 0.6 %</t>
        </is>
      </c>
      <c r="AA3657" s="12">
        <f>N3657*O3657</f>
        <v/>
      </c>
    </row>
    <row r="3658">
      <c r="A3658" s="12" t="inlineStr">
        <is>
          <t>G-P-0100</t>
        </is>
      </c>
      <c r="B3658" s="12" t="inlineStr">
        <is>
          <t>G</t>
        </is>
      </c>
      <c r="C3658" s="12" t="inlineStr">
        <is>
          <t>Carbon capture</t>
        </is>
      </c>
      <c r="D3658" s="12" t="inlineStr">
        <is>
          <t>Motor 1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G-P-0101</t>
        </is>
      </c>
      <c r="B3659" s="12" t="inlineStr">
        <is>
          <t>G</t>
        </is>
      </c>
      <c r="C3659" s="12" t="inlineStr">
        <is>
          <t>Carbon capture</t>
        </is>
      </c>
      <c r="D3659" s="12" t="inlineStr">
        <is>
          <t>Motor 2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G-P-0102</t>
        </is>
      </c>
      <c r="B3660" s="12" t="inlineStr">
        <is>
          <t>G</t>
        </is>
      </c>
      <c r="C3660" s="12" t="inlineStr">
        <is>
          <t>Carbon capture</t>
        </is>
      </c>
      <c r="D3660" s="12" t="inlineStr">
        <is>
          <t>Motor 3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G-P-0103</t>
        </is>
      </c>
      <c r="B3661" s="12" t="inlineStr">
        <is>
          <t>G</t>
        </is>
      </c>
      <c r="C3661" s="12" t="inlineStr">
        <is>
          <t>Carbon capture</t>
        </is>
      </c>
      <c r="D3661" s="12" t="inlineStr">
        <is>
          <t>Motor 4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G-P-0104</t>
        </is>
      </c>
      <c r="B3662" s="12" t="inlineStr">
        <is>
          <t>G</t>
        </is>
      </c>
      <c r="C3662" s="12" t="inlineStr">
        <is>
          <t>Carbon capture</t>
        </is>
      </c>
      <c r="D3662" s="12" t="inlineStr">
        <is>
          <t>Motor 5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G-P-0105</t>
        </is>
      </c>
      <c r="B3663" s="12" t="inlineStr">
        <is>
          <t>G</t>
        </is>
      </c>
      <c r="C3663" s="12" t="inlineStr">
        <is>
          <t>Carbon capture</t>
        </is>
      </c>
      <c r="D3663" s="12" t="inlineStr">
        <is>
          <t>Motor 6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G-P-0106</t>
        </is>
      </c>
      <c r="B3664" s="12" t="inlineStr">
        <is>
          <t>G</t>
        </is>
      </c>
      <c r="C3664" s="12" t="inlineStr">
        <is>
          <t>Carbon capture</t>
        </is>
      </c>
      <c r="D3664" s="12" t="inlineStr">
        <is>
          <t>Motor 7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G-P-0107</t>
        </is>
      </c>
      <c r="B3665" s="12" t="inlineStr">
        <is>
          <t>G</t>
        </is>
      </c>
      <c r="C3665" s="12" t="inlineStr">
        <is>
          <t>Carbon capture</t>
        </is>
      </c>
      <c r="D3665" s="12" t="inlineStr">
        <is>
          <t>Motor 8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G-P-0108</t>
        </is>
      </c>
      <c r="B3666" s="12" t="inlineStr">
        <is>
          <t>G</t>
        </is>
      </c>
      <c r="C3666" s="12" t="inlineStr">
        <is>
          <t>Carbon capture</t>
        </is>
      </c>
      <c r="D3666" s="12" t="inlineStr">
        <is>
          <t>Motor 9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G-P-0109</t>
        </is>
      </c>
      <c r="B3667" s="12" t="inlineStr">
        <is>
          <t>G</t>
        </is>
      </c>
      <c r="C3667" s="12" t="inlineStr">
        <is>
          <t>Carbon capture</t>
        </is>
      </c>
      <c r="D3667" s="12" t="inlineStr">
        <is>
          <t>Motor 10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G-P-0110</t>
        </is>
      </c>
      <c r="B3668" s="12" t="inlineStr">
        <is>
          <t>G</t>
        </is>
      </c>
      <c r="C3668" s="12" t="inlineStr">
        <is>
          <t>Carbon capture</t>
        </is>
      </c>
      <c r="D3668" s="12" t="inlineStr">
        <is>
          <t>Motor 11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G-P-0111</t>
        </is>
      </c>
      <c r="B3669" s="12" t="inlineStr">
        <is>
          <t>G</t>
        </is>
      </c>
      <c r="C3669" s="12" t="inlineStr">
        <is>
          <t>Carbon capture</t>
        </is>
      </c>
      <c r="D3669" s="12" t="inlineStr">
        <is>
          <t>Motor 12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G-P-0112</t>
        </is>
      </c>
      <c r="B3670" s="12" t="inlineStr">
        <is>
          <t>G</t>
        </is>
      </c>
      <c r="C3670" s="12" t="inlineStr">
        <is>
          <t>Carbon capture</t>
        </is>
      </c>
      <c r="D3670" s="12" t="inlineStr">
        <is>
          <t>Motor 13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G-P-0113</t>
        </is>
      </c>
      <c r="B3671" s="12" t="inlineStr">
        <is>
          <t>G</t>
        </is>
      </c>
      <c r="C3671" s="12" t="inlineStr">
        <is>
          <t>Carbon capture</t>
        </is>
      </c>
      <c r="D3671" s="12" t="inlineStr">
        <is>
          <t>Motor 14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G-P-0114</t>
        </is>
      </c>
      <c r="B3672" s="12" t="inlineStr">
        <is>
          <t>G</t>
        </is>
      </c>
      <c r="C3672" s="12" t="inlineStr">
        <is>
          <t>Carbon capture</t>
        </is>
      </c>
      <c r="D3672" s="12" t="inlineStr">
        <is>
          <t>Motor 15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G-P-0115</t>
        </is>
      </c>
      <c r="B3673" s="12" t="inlineStr">
        <is>
          <t>G</t>
        </is>
      </c>
      <c r="C3673" s="12" t="inlineStr">
        <is>
          <t>Carbon capture</t>
        </is>
      </c>
      <c r="D3673" s="12" t="inlineStr">
        <is>
          <t>Motor 16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G-P-0116</t>
        </is>
      </c>
      <c r="B3674" s="12" t="inlineStr">
        <is>
          <t>G</t>
        </is>
      </c>
      <c r="C3674" s="12" t="inlineStr">
        <is>
          <t>Carbon capture</t>
        </is>
      </c>
      <c r="D3674" s="12" t="inlineStr">
        <is>
          <t>Motor 17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G-P-0117</t>
        </is>
      </c>
      <c r="B3675" s="12" t="inlineStr">
        <is>
          <t>G</t>
        </is>
      </c>
      <c r="C3675" s="12" t="inlineStr">
        <is>
          <t>Carbon capture</t>
        </is>
      </c>
      <c r="D3675" s="12" t="inlineStr">
        <is>
          <t>Motor 18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G-P-0118</t>
        </is>
      </c>
      <c r="B3676" s="12" t="inlineStr">
        <is>
          <t>G</t>
        </is>
      </c>
      <c r="C3676" s="12" t="inlineStr">
        <is>
          <t>Carbon capture</t>
        </is>
      </c>
      <c r="D3676" s="12" t="inlineStr">
        <is>
          <t>Motor 19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G-P-0119</t>
        </is>
      </c>
      <c r="B3677" s="12" t="inlineStr">
        <is>
          <t>G</t>
        </is>
      </c>
      <c r="C3677" s="12" t="inlineStr">
        <is>
          <t>Carbon capture</t>
        </is>
      </c>
      <c r="D3677" s="12" t="inlineStr">
        <is>
          <t>Motor 20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G-P-0120</t>
        </is>
      </c>
      <c r="B3678" s="12" t="inlineStr">
        <is>
          <t>G</t>
        </is>
      </c>
      <c r="C3678" s="12" t="inlineStr">
        <is>
          <t>Carbon capture</t>
        </is>
      </c>
      <c r="D3678" s="12" t="inlineStr">
        <is>
          <t>Motor 21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G-P-0121</t>
        </is>
      </c>
      <c r="B3679" s="12" t="inlineStr">
        <is>
          <t>G</t>
        </is>
      </c>
      <c r="C3679" s="12" t="inlineStr">
        <is>
          <t>Carbon capture</t>
        </is>
      </c>
      <c r="D3679" s="12" t="inlineStr">
        <is>
          <t>Motor 22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G-P-0122</t>
        </is>
      </c>
      <c r="B3680" s="12" t="inlineStr">
        <is>
          <t>G</t>
        </is>
      </c>
      <c r="C3680" s="12" t="inlineStr">
        <is>
          <t>Carbon capture</t>
        </is>
      </c>
      <c r="D3680" s="12" t="inlineStr">
        <is>
          <t>Motor 23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G-P-0123</t>
        </is>
      </c>
      <c r="B3681" s="12" t="inlineStr">
        <is>
          <t>G</t>
        </is>
      </c>
      <c r="C3681" s="12" t="inlineStr">
        <is>
          <t>Carbon capture</t>
        </is>
      </c>
      <c r="D3681" s="12" t="inlineStr">
        <is>
          <t>Motor 24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G-P-0124</t>
        </is>
      </c>
      <c r="B3682" s="12" t="inlineStr">
        <is>
          <t>G</t>
        </is>
      </c>
      <c r="C3682" s="12" t="inlineStr">
        <is>
          <t>Carbon capture</t>
        </is>
      </c>
      <c r="D3682" s="12" t="inlineStr">
        <is>
          <t>Motor 25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G-P-0125</t>
        </is>
      </c>
      <c r="B3683" s="12" t="inlineStr">
        <is>
          <t>G</t>
        </is>
      </c>
      <c r="C3683" s="12" t="inlineStr">
        <is>
          <t>Carbon capture</t>
        </is>
      </c>
      <c r="D3683" s="12" t="inlineStr">
        <is>
          <t>Motor 26 of 30, 110 kW (VFD output)</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VFD cable 600 V 3/C Cu XHHW-2, 3 symmetrical grounds, overall Cu tape shield, TC-ER</t>
        </is>
      </c>
      <c r="K3683" s="12" t="inlineStr">
        <is>
          <t>VFD|3/C+3G|3/0</t>
        </is>
      </c>
      <c r="L3683" s="12" t="inlineStr">
        <is>
          <t>3/C+3G</t>
        </is>
      </c>
      <c r="M3683" s="12" t="inlineStr">
        <is>
          <t>3/0</t>
        </is>
      </c>
      <c r="N3683" s="12" t="n">
        <v>1</v>
      </c>
      <c r="O3683" s="12" t="n">
        <v>1</v>
      </c>
      <c r="P3683" s="12" t="n">
        <v>480</v>
      </c>
      <c r="Q3683" s="12" t="n">
        <v>110</v>
      </c>
      <c r="R3683" s="12" t="n">
        <v>156</v>
      </c>
      <c r="S3683" s="12" t="inlineStr">
        <is>
          <t>Tray</t>
        </is>
      </c>
      <c r="T3683" s="15" t="n">
        <v>250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VD 1.4 %</t>
        </is>
      </c>
      <c r="AA3683" s="12">
        <f>N3683*O3683</f>
        <v/>
      </c>
    </row>
    <row r="3684">
      <c r="A3684" s="12" t="inlineStr">
        <is>
          <t>G-P-0126</t>
        </is>
      </c>
      <c r="B3684" s="12" t="inlineStr">
        <is>
          <t>G</t>
        </is>
      </c>
      <c r="C3684" s="12" t="inlineStr">
        <is>
          <t>Carbon capture</t>
        </is>
      </c>
      <c r="D3684" s="12" t="inlineStr">
        <is>
          <t>Motor 27 of 30, 110 kW (VFD output)</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VFD cable 600 V 3/C Cu XHHW-2, 3 symmetrical grounds, overall Cu tape shield, TC-ER</t>
        </is>
      </c>
      <c r="K3684" s="12" t="inlineStr">
        <is>
          <t>VFD|3/C+3G|3/0</t>
        </is>
      </c>
      <c r="L3684" s="12" t="inlineStr">
        <is>
          <t>3/C+3G</t>
        </is>
      </c>
      <c r="M3684" s="12" t="inlineStr">
        <is>
          <t>3/0</t>
        </is>
      </c>
      <c r="N3684" s="12" t="n">
        <v>1</v>
      </c>
      <c r="O3684" s="12" t="n">
        <v>1</v>
      </c>
      <c r="P3684" s="12" t="n">
        <v>480</v>
      </c>
      <c r="Q3684" s="12" t="n">
        <v>110</v>
      </c>
      <c r="R3684" s="12" t="n">
        <v>156</v>
      </c>
      <c r="S3684" s="12" t="inlineStr">
        <is>
          <t>Tray</t>
        </is>
      </c>
      <c r="T3684" s="15" t="n">
        <v>250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VD 1.4 %</t>
        </is>
      </c>
      <c r="AA3684" s="12">
        <f>N3684*O3684</f>
        <v/>
      </c>
    </row>
    <row r="3685">
      <c r="A3685" s="12" t="inlineStr">
        <is>
          <t>G-P-0127</t>
        </is>
      </c>
      <c r="B3685" s="12" t="inlineStr">
        <is>
          <t>G</t>
        </is>
      </c>
      <c r="C3685" s="12" t="inlineStr">
        <is>
          <t>Carbon capture</t>
        </is>
      </c>
      <c r="D3685" s="12" t="inlineStr">
        <is>
          <t>Motor 28 of 30, 110 kW (VFD output)</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VFD cable 600 V 3/C Cu XHHW-2, 3 symmetrical grounds, overall Cu tape shield, TC-ER</t>
        </is>
      </c>
      <c r="K3685" s="12" t="inlineStr">
        <is>
          <t>VFD|3/C+3G|3/0</t>
        </is>
      </c>
      <c r="L3685" s="12" t="inlineStr">
        <is>
          <t>3/C+3G</t>
        </is>
      </c>
      <c r="M3685" s="12" t="inlineStr">
        <is>
          <t>3/0</t>
        </is>
      </c>
      <c r="N3685" s="12" t="n">
        <v>1</v>
      </c>
      <c r="O3685" s="12" t="n">
        <v>1</v>
      </c>
      <c r="P3685" s="12" t="n">
        <v>480</v>
      </c>
      <c r="Q3685" s="12" t="n">
        <v>110</v>
      </c>
      <c r="R3685" s="12" t="n">
        <v>156</v>
      </c>
      <c r="S3685" s="12" t="inlineStr">
        <is>
          <t>Tray</t>
        </is>
      </c>
      <c r="T3685" s="15" t="n">
        <v>250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VD 1.4 %</t>
        </is>
      </c>
      <c r="AA3685" s="12">
        <f>N3685*O3685</f>
        <v/>
      </c>
    </row>
    <row r="3686">
      <c r="A3686" s="12" t="inlineStr">
        <is>
          <t>G-P-0128</t>
        </is>
      </c>
      <c r="B3686" s="12" t="inlineStr">
        <is>
          <t>G</t>
        </is>
      </c>
      <c r="C3686" s="12" t="inlineStr">
        <is>
          <t>Carbon capture</t>
        </is>
      </c>
      <c r="D3686" s="12" t="inlineStr">
        <is>
          <t>Motor 29 of 30, 110 kW (VFD output)</t>
        </is>
      </c>
      <c r="E3686" s="12" t="inlineStr"/>
      <c r="F3686" s="12" t="inlineStr">
        <is>
          <t>CT MCC / VFD e-house</t>
        </is>
      </c>
      <c r="G3686" s="12" t="inlineStr">
        <is>
          <t>CCS-CT</t>
        </is>
      </c>
      <c r="H3686" s="12" t="inlineStr">
        <is>
          <t>CCS cooling tower (~30 cells): CCS process cooling only</t>
        </is>
      </c>
      <c r="I3686" s="12" t="inlineStr">
        <is>
          <t>LV 600 V</t>
        </is>
      </c>
      <c r="J3686" s="12" t="inlineStr">
        <is>
          <t>VFD cable 600 V 3/C Cu XHHW-2, 3 symmetrical grounds, overall Cu tape shield, TC-ER</t>
        </is>
      </c>
      <c r="K3686" s="12" t="inlineStr">
        <is>
          <t>VFD|3/C+3G|3/0</t>
        </is>
      </c>
      <c r="L3686" s="12" t="inlineStr">
        <is>
          <t>3/C+3G</t>
        </is>
      </c>
      <c r="M3686" s="12" t="inlineStr">
        <is>
          <t>3/0</t>
        </is>
      </c>
      <c r="N3686" s="12" t="n">
        <v>1</v>
      </c>
      <c r="O3686" s="12" t="n">
        <v>1</v>
      </c>
      <c r="P3686" s="12" t="n">
        <v>480</v>
      </c>
      <c r="Q3686" s="12" t="n">
        <v>110</v>
      </c>
      <c r="R3686" s="12" t="n">
        <v>156</v>
      </c>
      <c r="S3686" s="12" t="inlineStr">
        <is>
          <t>Tray</t>
        </is>
      </c>
      <c r="T3686" s="15" t="n">
        <v>250</v>
      </c>
      <c r="U3686" s="15" t="n">
        <v>42</v>
      </c>
      <c r="V3686" s="15">
        <f>ROUNDUP((T3686+U3686+2*'Read Me'!$B$13)*(1+'Read Me'!$B$12),-1)</f>
        <v/>
      </c>
      <c r="W3686" s="15">
        <f>V3686*N3686*O3686</f>
        <v/>
      </c>
      <c r="X3686" s="12">
        <f>IF(LEFT(I3686,2)="MV",2*N3686*IF(L3686="1/C",O3686,1),0)</f>
        <v/>
      </c>
      <c r="Y3686" s="12">
        <f>IF(OR(LEFT(K3686,4)="LVAX",LEFT(K3686,6)="MV15AX",LEFT(K3686,4)="CTAX",LEFT(K3686,2)="W|"),2*N3686*O3686,0)</f>
        <v/>
      </c>
      <c r="Z3686" s="12" t="inlineStr">
        <is>
          <t>VD 1.4 %</t>
        </is>
      </c>
      <c r="AA3686" s="12">
        <f>N3686*O3686</f>
        <v/>
      </c>
    </row>
    <row r="3687">
      <c r="A3687" s="12" t="inlineStr">
        <is>
          <t>G-P-0129</t>
        </is>
      </c>
      <c r="B3687" s="12" t="inlineStr">
        <is>
          <t>G</t>
        </is>
      </c>
      <c r="C3687" s="12" t="inlineStr">
        <is>
          <t>Carbon capture</t>
        </is>
      </c>
      <c r="D3687" s="12" t="inlineStr">
        <is>
          <t>Motor 30 of 30, 110 kW (VFD output)</t>
        </is>
      </c>
      <c r="E3687" s="12" t="inlineStr"/>
      <c r="F3687" s="12" t="inlineStr">
        <is>
          <t>CT MCC / VFD e-house</t>
        </is>
      </c>
      <c r="G3687" s="12" t="inlineStr">
        <is>
          <t>CCS-CT</t>
        </is>
      </c>
      <c r="H3687" s="12" t="inlineStr">
        <is>
          <t>CCS cooling tower (~30 cells): CCS process cooling only</t>
        </is>
      </c>
      <c r="I3687" s="12" t="inlineStr">
        <is>
          <t>LV 600 V</t>
        </is>
      </c>
      <c r="J3687" s="12" t="inlineStr">
        <is>
          <t>VFD cable 600 V 3/C Cu XHHW-2, 3 symmetrical grounds, overall Cu tape shield, TC-ER</t>
        </is>
      </c>
      <c r="K3687" s="12" t="inlineStr">
        <is>
          <t>VFD|3/C+3G|3/0</t>
        </is>
      </c>
      <c r="L3687" s="12" t="inlineStr">
        <is>
          <t>3/C+3G</t>
        </is>
      </c>
      <c r="M3687" s="12" t="inlineStr">
        <is>
          <t>3/0</t>
        </is>
      </c>
      <c r="N3687" s="12" t="n">
        <v>1</v>
      </c>
      <c r="O3687" s="12" t="n">
        <v>1</v>
      </c>
      <c r="P3687" s="12" t="n">
        <v>480</v>
      </c>
      <c r="Q3687" s="12" t="n">
        <v>110</v>
      </c>
      <c r="R3687" s="12" t="n">
        <v>156</v>
      </c>
      <c r="S3687" s="12" t="inlineStr">
        <is>
          <t>Tray</t>
        </is>
      </c>
      <c r="T3687" s="15" t="n">
        <v>250</v>
      </c>
      <c r="U3687" s="15" t="n">
        <v>42</v>
      </c>
      <c r="V3687" s="15">
        <f>ROUNDUP((T3687+U3687+2*'Read Me'!$B$13)*(1+'Read Me'!$B$12),-1)</f>
        <v/>
      </c>
      <c r="W3687" s="15">
        <f>V3687*N3687*O3687</f>
        <v/>
      </c>
      <c r="X3687" s="12">
        <f>IF(LEFT(I3687,2)="MV",2*N3687*IF(L3687="1/C",O3687,1),0)</f>
        <v/>
      </c>
      <c r="Y3687" s="12">
        <f>IF(OR(LEFT(K3687,4)="LVAX",LEFT(K3687,6)="MV15AX",LEFT(K3687,4)="CTAX",LEFT(K3687,2)="W|"),2*N3687*O3687,0)</f>
        <v/>
      </c>
      <c r="Z3687" s="12" t="inlineStr">
        <is>
          <t>VD 1.4 %</t>
        </is>
      </c>
      <c r="AA3687" s="12">
        <f>N3687*O3687</f>
        <v/>
      </c>
    </row>
    <row r="3688">
      <c r="A3688" s="12" t="inlineStr">
        <is>
          <t>G-P-0130</t>
        </is>
      </c>
      <c r="B3688" s="12" t="inlineStr">
        <is>
          <t>G</t>
        </is>
      </c>
      <c r="C3688" s="12" t="inlineStr">
        <is>
          <t>Carbon capture</t>
        </is>
      </c>
      <c r="D3688" s="12" t="inlineStr">
        <is>
          <t>Area / platform lighting circuit 1 (12 fixtures)</t>
        </is>
      </c>
      <c r="E3688" s="12" t="inlineStr"/>
      <c r="F3688" s="12" t="inlineStr">
        <is>
          <t>CT MCC / VFD e-house</t>
        </is>
      </c>
      <c r="G3688" s="12" t="inlineStr">
        <is>
          <t>CCS-CT</t>
        </is>
      </c>
      <c r="H3688" s="12" t="inlineStr">
        <is>
          <t>CCS cooling tower (~30 cells): CCS process cooling only</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3</v>
      </c>
      <c r="R3688" s="12" t="n">
        <v>5</v>
      </c>
      <c r="S3688" s="12" t="inlineStr">
        <is>
          <t>Tray</t>
        </is>
      </c>
      <c r="T3688" s="15" t="n">
        <v>300</v>
      </c>
      <c r="U3688" s="15" t="n">
        <v>42</v>
      </c>
      <c r="V3688" s="15">
        <f>ROUNDUP((T3688+U3688+2*'Read Me'!$B$13)*(1+'Read Me'!$B$12),-1)</f>
        <v/>
      </c>
      <c r="W3688" s="15">
        <f>V3688*N3688*O3688</f>
        <v/>
      </c>
      <c r="X3688" s="12">
        <f>IF(LEFT(I3688,2)="MV",2*N3688*IF(L3688="1/C",O3688,1),0)</f>
        <v/>
      </c>
      <c r="Y3688" s="12">
        <f>IF(OR(LEFT(K3688,4)="LVAX",LEFT(K3688,6)="MV15AX",LEFT(K3688,4)="CTAX",LEFT(K3688,2)="W|"),2*N3688*O3688,0)</f>
        <v/>
      </c>
      <c r="Z3688" s="12" t="inlineStr">
        <is>
          <t>fixture-to-fixture run included</t>
        </is>
      </c>
      <c r="AA3688" s="12">
        <f>N3688*O3688</f>
        <v/>
      </c>
    </row>
    <row r="3689">
      <c r="A3689" s="12" t="inlineStr">
        <is>
          <t>G-P-0131</t>
        </is>
      </c>
      <c r="B3689" s="12" t="inlineStr">
        <is>
          <t>G</t>
        </is>
      </c>
      <c r="C3689" s="12" t="inlineStr">
        <is>
          <t>Carbon capture</t>
        </is>
      </c>
      <c r="D3689" s="12" t="inlineStr">
        <is>
          <t>Area / platform lighting circuit 2 (12 fixtures)</t>
        </is>
      </c>
      <c r="E3689" s="12" t="inlineStr"/>
      <c r="F3689" s="12" t="inlineStr">
        <is>
          <t>CT MCC / VFD e-house</t>
        </is>
      </c>
      <c r="G3689" s="12" t="inlineStr">
        <is>
          <t>CCS-CT</t>
        </is>
      </c>
      <c r="H3689" s="12" t="inlineStr">
        <is>
          <t>CCS cooling tower (~30 cells): CCS process cooling only</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3</v>
      </c>
      <c r="R3689" s="12" t="n">
        <v>5</v>
      </c>
      <c r="S3689" s="12" t="inlineStr">
        <is>
          <t>Tray</t>
        </is>
      </c>
      <c r="T3689" s="15" t="n">
        <v>300</v>
      </c>
      <c r="U3689" s="15" t="n">
        <v>42</v>
      </c>
      <c r="V3689" s="15">
        <f>ROUNDUP((T3689+U3689+2*'Read Me'!$B$13)*(1+'Read Me'!$B$12),-1)</f>
        <v/>
      </c>
      <c r="W3689" s="15">
        <f>V3689*N3689*O3689</f>
        <v/>
      </c>
      <c r="X3689" s="12">
        <f>IF(LEFT(I3689,2)="MV",2*N3689*IF(L3689="1/C",O3689,1),0)</f>
        <v/>
      </c>
      <c r="Y3689" s="12">
        <f>IF(OR(LEFT(K3689,4)="LVAX",LEFT(K3689,6)="MV15AX",LEFT(K3689,4)="CTAX",LEFT(K3689,2)="W|"),2*N3689*O3689,0)</f>
        <v/>
      </c>
      <c r="Z3689" s="12" t="inlineStr">
        <is>
          <t>fixture-to-fixture run included</t>
        </is>
      </c>
      <c r="AA3689" s="12">
        <f>N3689*O3689</f>
        <v/>
      </c>
    </row>
    <row r="3690">
      <c r="A3690" s="12" t="inlineStr">
        <is>
          <t>G-P-0132</t>
        </is>
      </c>
      <c r="B3690" s="12" t="inlineStr">
        <is>
          <t>G</t>
        </is>
      </c>
      <c r="C3690" s="12" t="inlineStr">
        <is>
          <t>Carbon capture</t>
        </is>
      </c>
      <c r="D3690" s="12" t="inlineStr">
        <is>
          <t>Area / platform lighting circuit 3 (6 fixtures)</t>
        </is>
      </c>
      <c r="E3690" s="12" t="inlineStr"/>
      <c r="F3690" s="12" t="inlineStr">
        <is>
          <t>CT MCC / VFD e-house</t>
        </is>
      </c>
      <c r="G3690" s="12" t="inlineStr">
        <is>
          <t>CCS-CT</t>
        </is>
      </c>
      <c r="H3690" s="12" t="inlineStr">
        <is>
          <t>CCS cooling tower (~30 cells): CCS process cooling only</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3</v>
      </c>
      <c r="R3690" s="12" t="n">
        <v>5</v>
      </c>
      <c r="S3690" s="12" t="inlineStr">
        <is>
          <t>Tray</t>
        </is>
      </c>
      <c r="T3690" s="15" t="n">
        <v>300</v>
      </c>
      <c r="U3690" s="15" t="n">
        <v>42</v>
      </c>
      <c r="V3690" s="15">
        <f>ROUNDUP((T3690+U3690+2*'Read Me'!$B$13)*(1+'Read Me'!$B$12),-1)</f>
        <v/>
      </c>
      <c r="W3690" s="15">
        <f>V3690*N3690*O3690</f>
        <v/>
      </c>
      <c r="X3690" s="12">
        <f>IF(LEFT(I3690,2)="MV",2*N3690*IF(L3690="1/C",O3690,1),0)</f>
        <v/>
      </c>
      <c r="Y3690" s="12">
        <f>IF(OR(LEFT(K3690,4)="LVAX",LEFT(K3690,6)="MV15AX",LEFT(K3690,4)="CTAX",LEFT(K3690,2)="W|"),2*N3690*O3690,0)</f>
        <v/>
      </c>
      <c r="Z3690" s="12" t="inlineStr">
        <is>
          <t>fixture-to-fixture run included</t>
        </is>
      </c>
      <c r="AA3690" s="12">
        <f>N3690*O3690</f>
        <v/>
      </c>
    </row>
    <row r="3691">
      <c r="A3691" s="12" t="inlineStr">
        <is>
          <t>G-P-0133</t>
        </is>
      </c>
      <c r="B3691" s="12" t="inlineStr">
        <is>
          <t>G</t>
        </is>
      </c>
      <c r="C3691" s="12" t="inlineStr">
        <is>
          <t>Carbon capture</t>
        </is>
      </c>
      <c r="D3691" s="12" t="inlineStr">
        <is>
          <t>Motor 1 of 2, 250 kW</t>
        </is>
      </c>
      <c r="E3691" s="12" t="inlineStr"/>
      <c r="F3691" s="12" t="inlineStr">
        <is>
          <t>CCS MV switchgear building (VFDs)</t>
        </is>
      </c>
      <c r="G3691" s="12" t="inlineStr"/>
      <c r="H3691" s="12" t="inlineStr">
        <is>
          <t>CCS instrument air</t>
        </is>
      </c>
      <c r="I3691" s="12" t="inlineStr">
        <is>
          <t>LV 600 V</t>
        </is>
      </c>
      <c r="J3691" s="12" t="inlineStr">
        <is>
          <t>Type TC-ER 600 V 3/C Cu XHHW-2 + ground, PVC jacket</t>
        </is>
      </c>
      <c r="K3691" s="12" t="inlineStr">
        <is>
          <t>LV|3/C+G|4/0</t>
        </is>
      </c>
      <c r="L3691" s="12" t="inlineStr">
        <is>
          <t>3/C+G</t>
        </is>
      </c>
      <c r="M3691" s="12" t="inlineStr">
        <is>
          <t>4/0</t>
        </is>
      </c>
      <c r="N3691" s="12" t="n">
        <v>2</v>
      </c>
      <c r="O3691" s="12" t="n">
        <v>1</v>
      </c>
      <c r="P3691" s="12" t="n">
        <v>480</v>
      </c>
      <c r="Q3691" s="12" t="n">
        <v>250</v>
      </c>
      <c r="R3691" s="12" t="n">
        <v>353.8</v>
      </c>
      <c r="S3691" s="12" t="inlineStr">
        <is>
          <t>Duct bank</t>
        </is>
      </c>
      <c r="T3691" s="15" t="n">
        <v>206</v>
      </c>
      <c r="U3691" s="15" t="n">
        <v>51</v>
      </c>
      <c r="V3691" s="15">
        <f>ROUNDUP((T3691+U3691+2*'Read Me'!$B$13)*(1+'Read Me'!$B$12),-1)</f>
        <v/>
      </c>
      <c r="W3691" s="15">
        <f>V3691*N3691*O3691</f>
        <v/>
      </c>
      <c r="X3691" s="12">
        <f>IF(LEFT(I3691,2)="MV",2*N3691*IF(L3691="1/C",O3691,1),0)</f>
        <v/>
      </c>
      <c r="Y3691" s="12">
        <f>IF(OR(LEFT(K3691,4)="LVAX",LEFT(K3691,6)="MV15AX",LEFT(K3691,4)="CTAX",LEFT(K3691,2)="W|"),2*N3691*O3691,0)</f>
        <v/>
      </c>
      <c r="Z3691" s="12" t="inlineStr">
        <is>
          <t>VD 1.1 %</t>
        </is>
      </c>
      <c r="AA3691" s="12">
        <f>N3691*O3691</f>
        <v/>
      </c>
    </row>
    <row r="3692">
      <c r="A3692" s="12" t="inlineStr">
        <is>
          <t>G-P-0134</t>
        </is>
      </c>
      <c r="B3692" s="12" t="inlineStr">
        <is>
          <t>G</t>
        </is>
      </c>
      <c r="C3692" s="12" t="inlineStr">
        <is>
          <t>Carbon capture</t>
        </is>
      </c>
      <c r="D3692" s="12" t="inlineStr">
        <is>
          <t>Motor 2 of 2, 250 kW</t>
        </is>
      </c>
      <c r="E3692" s="12" t="inlineStr"/>
      <c r="F3692" s="12" t="inlineStr">
        <is>
          <t>CCS MV switchgear building (VFDs)</t>
        </is>
      </c>
      <c r="G3692" s="12" t="inlineStr"/>
      <c r="H3692" s="12" t="inlineStr">
        <is>
          <t>CCS instrument air</t>
        </is>
      </c>
      <c r="I3692" s="12" t="inlineStr">
        <is>
          <t>LV 600 V</t>
        </is>
      </c>
      <c r="J3692" s="12" t="inlineStr">
        <is>
          <t>Type TC-ER 600 V 3/C Cu XHHW-2 + ground, PVC jacket</t>
        </is>
      </c>
      <c r="K3692" s="12" t="inlineStr">
        <is>
          <t>LV|3/C+G|4/0</t>
        </is>
      </c>
      <c r="L3692" s="12" t="inlineStr">
        <is>
          <t>3/C+G</t>
        </is>
      </c>
      <c r="M3692" s="12" t="inlineStr">
        <is>
          <t>4/0</t>
        </is>
      </c>
      <c r="N3692" s="12" t="n">
        <v>2</v>
      </c>
      <c r="O3692" s="12" t="n">
        <v>1</v>
      </c>
      <c r="P3692" s="12" t="n">
        <v>480</v>
      </c>
      <c r="Q3692" s="12" t="n">
        <v>250</v>
      </c>
      <c r="R3692" s="12" t="n">
        <v>353.8</v>
      </c>
      <c r="S3692" s="12" t="inlineStr">
        <is>
          <t>Duct bank</t>
        </is>
      </c>
      <c r="T3692" s="15" t="n">
        <v>206</v>
      </c>
      <c r="U3692" s="15" t="n">
        <v>51</v>
      </c>
      <c r="V3692" s="15">
        <f>ROUNDUP((T3692+U3692+2*'Read Me'!$B$13)*(1+'Read Me'!$B$12),-1)</f>
        <v/>
      </c>
      <c r="W3692" s="15">
        <f>V3692*N3692*O3692</f>
        <v/>
      </c>
      <c r="X3692" s="12">
        <f>IF(LEFT(I3692,2)="MV",2*N3692*IF(L3692="1/C",O3692,1),0)</f>
        <v/>
      </c>
      <c r="Y3692" s="12">
        <f>IF(OR(LEFT(K3692,4)="LVAX",LEFT(K3692,6)="MV15AX",LEFT(K3692,4)="CTAX",LEFT(K3692,2)="W|"),2*N3692*O3692,0)</f>
        <v/>
      </c>
      <c r="Z3692" s="12" t="inlineStr">
        <is>
          <t>VD 1.1 %</t>
        </is>
      </c>
      <c r="AA3692" s="12">
        <f>N3692*O3692</f>
        <v/>
      </c>
    </row>
    <row r="3693">
      <c r="A3693" s="12" t="inlineStr">
        <is>
          <t>G-P-0135</t>
        </is>
      </c>
      <c r="B3693" s="12" t="inlineStr">
        <is>
          <t>G</t>
        </is>
      </c>
      <c r="C3693" s="12" t="inlineStr">
        <is>
          <t>Carbon capture</t>
        </is>
      </c>
      <c r="D3693" s="12" t="inlineStr">
        <is>
          <t>Motor 1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G-P-0136</t>
        </is>
      </c>
      <c r="B3694" s="12" t="inlineStr">
        <is>
          <t>G</t>
        </is>
      </c>
      <c r="C3694" s="12" t="inlineStr">
        <is>
          <t>Carbon capture</t>
        </is>
      </c>
      <c r="D3694" s="12" t="inlineStr">
        <is>
          <t>Motor 2 of 6, 15 kW</t>
        </is>
      </c>
      <c r="E3694" s="12" t="inlineStr"/>
      <c r="F3694" s="12" t="inlineStr">
        <is>
          <t>CT MCC / VFD e-house</t>
        </is>
      </c>
      <c r="G3694" s="12" t="inlineStr"/>
      <c r="H3694" s="12" t="inlineStr">
        <is>
          <t>CCS wastewater (DCC + tower blowdown)</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15</v>
      </c>
      <c r="R3694" s="12" t="n">
        <v>21.2</v>
      </c>
      <c r="S3694" s="12" t="inlineStr">
        <is>
          <t>Duct bank</t>
        </is>
      </c>
      <c r="T3694" s="15" t="n">
        <v>5</v>
      </c>
      <c r="U3694" s="15" t="n">
        <v>87</v>
      </c>
      <c r="V3694" s="15">
        <f>ROUNDUP((T3694+U3694+2*'Read Me'!$B$13)*(1+'Read Me'!$B$12),-1)</f>
        <v/>
      </c>
      <c r="W3694" s="15">
        <f>V3694*N3694*O3694</f>
        <v/>
      </c>
      <c r="X3694" s="12">
        <f>IF(LEFT(I3694,2)="MV",2*N3694*IF(L3694="1/C",O3694,1),0)</f>
        <v/>
      </c>
      <c r="Y3694" s="12">
        <f>IF(OR(LEFT(K3694,4)="LVAX",LEFT(K3694,6)="MV15AX",LEFT(K3694,4)="CTAX",LEFT(K3694,2)="W|"),2*N3694*O3694,0)</f>
        <v/>
      </c>
      <c r="Z3694" s="12" t="inlineStr">
        <is>
          <t>VD 0.9 %</t>
        </is>
      </c>
      <c r="AA3694" s="12">
        <f>N3694*O3694</f>
        <v/>
      </c>
    </row>
    <row r="3695">
      <c r="A3695" s="12" t="inlineStr">
        <is>
          <t>G-P-0137</t>
        </is>
      </c>
      <c r="B3695" s="12" t="inlineStr">
        <is>
          <t>G</t>
        </is>
      </c>
      <c r="C3695" s="12" t="inlineStr">
        <is>
          <t>Carbon capture</t>
        </is>
      </c>
      <c r="D3695" s="12" t="inlineStr">
        <is>
          <t>Motor 3 of 6, 15 kW</t>
        </is>
      </c>
      <c r="E3695" s="12" t="inlineStr"/>
      <c r="F3695" s="12" t="inlineStr">
        <is>
          <t>CT MCC / VFD e-house</t>
        </is>
      </c>
      <c r="G3695" s="12" t="inlineStr"/>
      <c r="H3695" s="12" t="inlineStr">
        <is>
          <t>CCS wastewater (DCC + tower blowdown)</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15</v>
      </c>
      <c r="R3695" s="12" t="n">
        <v>21.2</v>
      </c>
      <c r="S3695" s="12" t="inlineStr">
        <is>
          <t>Duct bank</t>
        </is>
      </c>
      <c r="T3695" s="15" t="n">
        <v>5</v>
      </c>
      <c r="U3695" s="15" t="n">
        <v>87</v>
      </c>
      <c r="V3695" s="15">
        <f>ROUNDUP((T3695+U3695+2*'Read Me'!$B$13)*(1+'Read Me'!$B$12),-1)</f>
        <v/>
      </c>
      <c r="W3695" s="15">
        <f>V3695*N3695*O3695</f>
        <v/>
      </c>
      <c r="X3695" s="12">
        <f>IF(LEFT(I3695,2)="MV",2*N3695*IF(L3695="1/C",O3695,1),0)</f>
        <v/>
      </c>
      <c r="Y3695" s="12">
        <f>IF(OR(LEFT(K3695,4)="LVAX",LEFT(K3695,6)="MV15AX",LEFT(K3695,4)="CTAX",LEFT(K3695,2)="W|"),2*N3695*O3695,0)</f>
        <v/>
      </c>
      <c r="Z3695" s="12" t="inlineStr">
        <is>
          <t>VD 0.9 %</t>
        </is>
      </c>
      <c r="AA3695" s="12">
        <f>N3695*O3695</f>
        <v/>
      </c>
    </row>
    <row r="3696">
      <c r="A3696" s="12" t="inlineStr">
        <is>
          <t>G-P-0138</t>
        </is>
      </c>
      <c r="B3696" s="12" t="inlineStr">
        <is>
          <t>G</t>
        </is>
      </c>
      <c r="C3696" s="12" t="inlineStr">
        <is>
          <t>Carbon capture</t>
        </is>
      </c>
      <c r="D3696" s="12" t="inlineStr">
        <is>
          <t>Motor 4 of 6, 15 kW</t>
        </is>
      </c>
      <c r="E3696" s="12" t="inlineStr"/>
      <c r="F3696" s="12" t="inlineStr">
        <is>
          <t>CT MCC / VFD e-house</t>
        </is>
      </c>
      <c r="G3696" s="12" t="inlineStr"/>
      <c r="H3696" s="12" t="inlineStr">
        <is>
          <t>CCS wastewater (DCC + tower blowdown)</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15</v>
      </c>
      <c r="R3696" s="12" t="n">
        <v>21.2</v>
      </c>
      <c r="S3696" s="12" t="inlineStr">
        <is>
          <t>Duct bank</t>
        </is>
      </c>
      <c r="T3696" s="15" t="n">
        <v>5</v>
      </c>
      <c r="U3696" s="15" t="n">
        <v>87</v>
      </c>
      <c r="V3696" s="15">
        <f>ROUNDUP((T3696+U3696+2*'Read Me'!$B$13)*(1+'Read Me'!$B$12),-1)</f>
        <v/>
      </c>
      <c r="W3696" s="15">
        <f>V3696*N3696*O3696</f>
        <v/>
      </c>
      <c r="X3696" s="12">
        <f>IF(LEFT(I3696,2)="MV",2*N3696*IF(L3696="1/C",O3696,1),0)</f>
        <v/>
      </c>
      <c r="Y3696" s="12">
        <f>IF(OR(LEFT(K3696,4)="LVAX",LEFT(K3696,6)="MV15AX",LEFT(K3696,4)="CTAX",LEFT(K3696,2)="W|"),2*N3696*O3696,0)</f>
        <v/>
      </c>
      <c r="Z3696" s="12" t="inlineStr">
        <is>
          <t>VD 0.9 %</t>
        </is>
      </c>
      <c r="AA3696" s="12">
        <f>N3696*O3696</f>
        <v/>
      </c>
    </row>
    <row r="3697">
      <c r="A3697" s="12" t="inlineStr">
        <is>
          <t>G-P-0139</t>
        </is>
      </c>
      <c r="B3697" s="12" t="inlineStr">
        <is>
          <t>G</t>
        </is>
      </c>
      <c r="C3697" s="12" t="inlineStr">
        <is>
          <t>Carbon capture</t>
        </is>
      </c>
      <c r="D3697" s="12" t="inlineStr">
        <is>
          <t>Motor 5 of 6, 15 kW</t>
        </is>
      </c>
      <c r="E3697" s="12" t="inlineStr"/>
      <c r="F3697" s="12" t="inlineStr">
        <is>
          <t>CT MCC / VFD e-house</t>
        </is>
      </c>
      <c r="G3697" s="12" t="inlineStr"/>
      <c r="H3697" s="12" t="inlineStr">
        <is>
          <t>CCS wastewater (DCC + tower blowdown)</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15</v>
      </c>
      <c r="R3697" s="12" t="n">
        <v>21.2</v>
      </c>
      <c r="S3697" s="12" t="inlineStr">
        <is>
          <t>Duct bank</t>
        </is>
      </c>
      <c r="T3697" s="15" t="n">
        <v>5</v>
      </c>
      <c r="U3697" s="15" t="n">
        <v>87</v>
      </c>
      <c r="V3697" s="15">
        <f>ROUNDUP((T3697+U3697+2*'Read Me'!$B$13)*(1+'Read Me'!$B$12),-1)</f>
        <v/>
      </c>
      <c r="W3697" s="15">
        <f>V3697*N3697*O3697</f>
        <v/>
      </c>
      <c r="X3697" s="12">
        <f>IF(LEFT(I3697,2)="MV",2*N3697*IF(L3697="1/C",O3697,1),0)</f>
        <v/>
      </c>
      <c r="Y3697" s="12">
        <f>IF(OR(LEFT(K3697,4)="LVAX",LEFT(K3697,6)="MV15AX",LEFT(K3697,4)="CTAX",LEFT(K3697,2)="W|"),2*N3697*O3697,0)</f>
        <v/>
      </c>
      <c r="Z3697" s="12" t="inlineStr">
        <is>
          <t>VD 0.9 %</t>
        </is>
      </c>
      <c r="AA3697" s="12">
        <f>N3697*O3697</f>
        <v/>
      </c>
    </row>
    <row r="3698">
      <c r="A3698" s="12" t="inlineStr">
        <is>
          <t>G-P-0140</t>
        </is>
      </c>
      <c r="B3698" s="12" t="inlineStr">
        <is>
          <t>G</t>
        </is>
      </c>
      <c r="C3698" s="12" t="inlineStr">
        <is>
          <t>Carbon capture</t>
        </is>
      </c>
      <c r="D3698" s="12" t="inlineStr">
        <is>
          <t>Motor 6 of 6, 15 kW</t>
        </is>
      </c>
      <c r="E3698" s="12" t="inlineStr"/>
      <c r="F3698" s="12" t="inlineStr">
        <is>
          <t>CT MCC / VFD e-house</t>
        </is>
      </c>
      <c r="G3698" s="12" t="inlineStr"/>
      <c r="H3698" s="12" t="inlineStr">
        <is>
          <t>CCS wastewater (DCC + tower blowdown)</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15</v>
      </c>
      <c r="R3698" s="12" t="n">
        <v>21.2</v>
      </c>
      <c r="S3698" s="12" t="inlineStr">
        <is>
          <t>Duct bank</t>
        </is>
      </c>
      <c r="T3698" s="15" t="n">
        <v>5</v>
      </c>
      <c r="U3698" s="15" t="n">
        <v>87</v>
      </c>
      <c r="V3698" s="15">
        <f>ROUNDUP((T3698+U3698+2*'Read Me'!$B$13)*(1+'Read Me'!$B$12),-1)</f>
        <v/>
      </c>
      <c r="W3698" s="15">
        <f>V3698*N3698*O3698</f>
        <v/>
      </c>
      <c r="X3698" s="12">
        <f>IF(LEFT(I3698,2)="MV",2*N3698*IF(L3698="1/C",O3698,1),0)</f>
        <v/>
      </c>
      <c r="Y3698" s="12">
        <f>IF(OR(LEFT(K3698,4)="LVAX",LEFT(K3698,6)="MV15AX",LEFT(K3698,4)="CTAX",LEFT(K3698,2)="W|"),2*N3698*O3698,0)</f>
        <v/>
      </c>
      <c r="Z3698" s="12" t="inlineStr">
        <is>
          <t>VD 0.9 %</t>
        </is>
      </c>
      <c r="AA3698" s="12">
        <f>N3698*O3698</f>
        <v/>
      </c>
    </row>
    <row r="3699">
      <c r="A3699" s="12" t="inlineStr">
        <is>
          <t>G-P-0141</t>
        </is>
      </c>
      <c r="B3699" s="12" t="inlineStr">
        <is>
          <t>G</t>
        </is>
      </c>
      <c r="C3699" s="12" t="inlineStr">
        <is>
          <t>Carbon capture</t>
        </is>
      </c>
      <c r="D3699" s="12" t="inlineStr">
        <is>
          <t>Motor 1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G-P-0142</t>
        </is>
      </c>
      <c r="B3700" s="12" t="inlineStr">
        <is>
          <t>G</t>
        </is>
      </c>
      <c r="C3700" s="12" t="inlineStr">
        <is>
          <t>Carbon capture</t>
        </is>
      </c>
      <c r="D3700" s="12" t="inlineStr">
        <is>
          <t>Motor 2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G-P-0143</t>
        </is>
      </c>
      <c r="B3701" s="12" t="inlineStr">
        <is>
          <t>G</t>
        </is>
      </c>
      <c r="C3701" s="12" t="inlineStr">
        <is>
          <t>Carbon capture</t>
        </is>
      </c>
      <c r="D3701" s="12" t="inlineStr">
        <is>
          <t>Motor 3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G-P-0144</t>
        </is>
      </c>
      <c r="B3702" s="12" t="inlineStr">
        <is>
          <t>G</t>
        </is>
      </c>
      <c r="C3702" s="12" t="inlineStr">
        <is>
          <t>Carbon capture</t>
        </is>
      </c>
      <c r="D3702" s="12" t="inlineStr">
        <is>
          <t>Motor 4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G-P-0145</t>
        </is>
      </c>
      <c r="B3703" s="12" t="inlineStr">
        <is>
          <t>G</t>
        </is>
      </c>
      <c r="C3703" s="12" t="inlineStr">
        <is>
          <t>Carbon capture</t>
        </is>
      </c>
      <c r="D3703" s="12" t="inlineStr">
        <is>
          <t>Motor 5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G-P-0146</t>
        </is>
      </c>
      <c r="B3704" s="12" t="inlineStr">
        <is>
          <t>G</t>
        </is>
      </c>
      <c r="C3704" s="12" t="inlineStr">
        <is>
          <t>Carbon capture</t>
        </is>
      </c>
      <c r="D3704" s="12" t="inlineStr">
        <is>
          <t>Motor 6 of 10, 30 kW</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LV|3/C+G|6</t>
        </is>
      </c>
      <c r="L3704" s="12" t="inlineStr">
        <is>
          <t>3/C+G</t>
        </is>
      </c>
      <c r="M3704" s="12" t="inlineStr">
        <is>
          <t>6</t>
        </is>
      </c>
      <c r="N3704" s="12" t="n">
        <v>1</v>
      </c>
      <c r="O3704" s="12" t="n">
        <v>1</v>
      </c>
      <c r="P3704" s="12" t="n">
        <v>480</v>
      </c>
      <c r="Q3704" s="12" t="n">
        <v>30</v>
      </c>
      <c r="R3704" s="12" t="n">
        <v>42.5</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2.7 %</t>
        </is>
      </c>
      <c r="AA3704" s="12">
        <f>N3704*O3704</f>
        <v/>
      </c>
    </row>
    <row r="3705">
      <c r="A3705" s="12" t="inlineStr">
        <is>
          <t>G-P-0147</t>
        </is>
      </c>
      <c r="B3705" s="12" t="inlineStr">
        <is>
          <t>G</t>
        </is>
      </c>
      <c r="C3705" s="12" t="inlineStr">
        <is>
          <t>Carbon capture</t>
        </is>
      </c>
      <c r="D3705" s="12" t="inlineStr">
        <is>
          <t>Motor 7 of 10, 30 kW</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LV|3/C+G|6</t>
        </is>
      </c>
      <c r="L3705" s="12" t="inlineStr">
        <is>
          <t>3/C+G</t>
        </is>
      </c>
      <c r="M3705" s="12" t="inlineStr">
        <is>
          <t>6</t>
        </is>
      </c>
      <c r="N3705" s="12" t="n">
        <v>1</v>
      </c>
      <c r="O3705" s="12" t="n">
        <v>1</v>
      </c>
      <c r="P3705" s="12" t="n">
        <v>480</v>
      </c>
      <c r="Q3705" s="12" t="n">
        <v>30</v>
      </c>
      <c r="R3705" s="12" t="n">
        <v>42.5</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2.7 %</t>
        </is>
      </c>
      <c r="AA3705" s="12">
        <f>N3705*O3705</f>
        <v/>
      </c>
    </row>
    <row r="3706">
      <c r="A3706" s="12" t="inlineStr">
        <is>
          <t>G-P-0148</t>
        </is>
      </c>
      <c r="B3706" s="12" t="inlineStr">
        <is>
          <t>G</t>
        </is>
      </c>
      <c r="C3706" s="12" t="inlineStr">
        <is>
          <t>Carbon capture</t>
        </is>
      </c>
      <c r="D3706" s="12" t="inlineStr">
        <is>
          <t>Motor 8 of 10, 30 kW</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LV|3/C+G|6</t>
        </is>
      </c>
      <c r="L3706" s="12" t="inlineStr">
        <is>
          <t>3/C+G</t>
        </is>
      </c>
      <c r="M3706" s="12" t="inlineStr">
        <is>
          <t>6</t>
        </is>
      </c>
      <c r="N3706" s="12" t="n">
        <v>1</v>
      </c>
      <c r="O3706" s="12" t="n">
        <v>1</v>
      </c>
      <c r="P3706" s="12" t="n">
        <v>480</v>
      </c>
      <c r="Q3706" s="12" t="n">
        <v>30</v>
      </c>
      <c r="R3706" s="12" t="n">
        <v>42.5</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2.7 %</t>
        </is>
      </c>
      <c r="AA3706" s="12">
        <f>N3706*O3706</f>
        <v/>
      </c>
    </row>
    <row r="3707">
      <c r="A3707" s="12" t="inlineStr">
        <is>
          <t>G-P-0149</t>
        </is>
      </c>
      <c r="B3707" s="12" t="inlineStr">
        <is>
          <t>G</t>
        </is>
      </c>
      <c r="C3707" s="12" t="inlineStr">
        <is>
          <t>Carbon capture</t>
        </is>
      </c>
      <c r="D3707" s="12" t="inlineStr">
        <is>
          <t>Motor 9 of 10, 30 kW</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LV|3/C+G|6</t>
        </is>
      </c>
      <c r="L3707" s="12" t="inlineStr">
        <is>
          <t>3/C+G</t>
        </is>
      </c>
      <c r="M3707" s="12" t="inlineStr">
        <is>
          <t>6</t>
        </is>
      </c>
      <c r="N3707" s="12" t="n">
        <v>1</v>
      </c>
      <c r="O3707" s="12" t="n">
        <v>1</v>
      </c>
      <c r="P3707" s="12" t="n">
        <v>480</v>
      </c>
      <c r="Q3707" s="12" t="n">
        <v>30</v>
      </c>
      <c r="R3707" s="12" t="n">
        <v>42.5</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2.7 %</t>
        </is>
      </c>
      <c r="AA3707" s="12">
        <f>N3707*O3707</f>
        <v/>
      </c>
    </row>
    <row r="3708">
      <c r="A3708" s="12" t="inlineStr">
        <is>
          <t>G-P-0150</t>
        </is>
      </c>
      <c r="B3708" s="12" t="inlineStr">
        <is>
          <t>G</t>
        </is>
      </c>
      <c r="C3708" s="12" t="inlineStr">
        <is>
          <t>Carbon capture</t>
        </is>
      </c>
      <c r="D3708" s="12" t="inlineStr">
        <is>
          <t>Motor 10 of 10, 30 kW</t>
        </is>
      </c>
      <c r="E3708" s="12" t="inlineStr"/>
      <c r="F3708" s="12" t="inlineStr">
        <is>
          <t>CCS MV switchgear building (VFDs)</t>
        </is>
      </c>
      <c r="G3708" s="12" t="inlineStr"/>
      <c r="H3708" s="12" t="inlineStr">
        <is>
          <t>CO2 compression 3 x ~19 MW + dehydration</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30</v>
      </c>
      <c r="R3708" s="12" t="n">
        <v>42.5</v>
      </c>
      <c r="S3708" s="12" t="inlineStr">
        <is>
          <t>Duct bank</t>
        </is>
      </c>
      <c r="T3708" s="15" t="n">
        <v>291</v>
      </c>
      <c r="U3708" s="15" t="n">
        <v>36</v>
      </c>
      <c r="V3708" s="15">
        <f>ROUNDUP((T3708+U3708+2*'Read Me'!$B$13)*(1+'Read Me'!$B$12),-1)</f>
        <v/>
      </c>
      <c r="W3708" s="15">
        <f>V3708*N3708*O3708</f>
        <v/>
      </c>
      <c r="X3708" s="12">
        <f>IF(LEFT(I3708,2)="MV",2*N3708*IF(L3708="1/C",O3708,1),0)</f>
        <v/>
      </c>
      <c r="Y3708" s="12">
        <f>IF(OR(LEFT(K3708,4)="LVAX",LEFT(K3708,6)="MV15AX",LEFT(K3708,4)="CTAX",LEFT(K3708,2)="W|"),2*N3708*O3708,0)</f>
        <v/>
      </c>
      <c r="Z3708" s="12" t="inlineStr">
        <is>
          <t>VD 2.7 %</t>
        </is>
      </c>
      <c r="AA3708" s="12">
        <f>N3708*O3708</f>
        <v/>
      </c>
    </row>
    <row r="3709">
      <c r="A3709" s="12" t="inlineStr">
        <is>
          <t>G-P-0151</t>
        </is>
      </c>
      <c r="B3709" s="12" t="inlineStr">
        <is>
          <t>G</t>
        </is>
      </c>
      <c r="C3709" s="12" t="inlineStr">
        <is>
          <t>Carbon capture</t>
        </is>
      </c>
      <c r="D3709" s="12" t="inlineStr">
        <is>
          <t>480 V welding receptacle 1</t>
        </is>
      </c>
      <c r="E3709" s="12" t="inlineStr"/>
      <c r="F3709" s="12" t="inlineStr">
        <is>
          <t>CCS MV switchgear building (VFDs)</t>
        </is>
      </c>
      <c r="G3709" s="12" t="inlineStr"/>
      <c r="H3709" s="12" t="inlineStr">
        <is>
          <t>CO2 compression 3 x ~19 MW + dehydration</t>
        </is>
      </c>
      <c r="I3709" s="12" t="inlineStr">
        <is>
          <t>LV 600 V</t>
        </is>
      </c>
      <c r="J3709" s="12" t="inlineStr">
        <is>
          <t>Type TC-ER 600 V 3/C Cu XHHW-2 + ground, PVC jacket</t>
        </is>
      </c>
      <c r="K3709" s="12" t="inlineStr">
        <is>
          <t>LV|3/C+G|2</t>
        </is>
      </c>
      <c r="L3709" s="12" t="inlineStr">
        <is>
          <t>3/C+G</t>
        </is>
      </c>
      <c r="M3709" s="12" t="inlineStr">
        <is>
          <t>2</t>
        </is>
      </c>
      <c r="N3709" s="12" t="n">
        <v>1</v>
      </c>
      <c r="O3709" s="12" t="n">
        <v>1</v>
      </c>
      <c r="P3709" s="12" t="n">
        <v>480</v>
      </c>
      <c r="Q3709" s="12" t="n">
        <v>60</v>
      </c>
      <c r="R3709" s="12" t="n">
        <v>76</v>
      </c>
      <c r="S3709" s="12" t="inlineStr">
        <is>
          <t>Duct bank</t>
        </is>
      </c>
      <c r="T3709" s="15" t="n">
        <v>291</v>
      </c>
      <c r="U3709" s="15" t="n">
        <v>36</v>
      </c>
      <c r="V3709" s="15">
        <f>ROUNDUP((T3709+U3709+2*'Read Me'!$B$13)*(1+'Read Me'!$B$12),-1)</f>
        <v/>
      </c>
      <c r="W3709" s="15">
        <f>V3709*N3709*O3709</f>
        <v/>
      </c>
      <c r="X3709" s="12">
        <f>IF(LEFT(I3709,2)="MV",2*N3709*IF(L3709="1/C",O3709,1),0)</f>
        <v/>
      </c>
      <c r="Y3709" s="12">
        <f>IF(OR(LEFT(K3709,4)="LVAX",LEFT(K3709,6)="MV15AX",LEFT(K3709,4)="CTAX",LEFT(K3709,2)="W|"),2*N3709*O3709,0)</f>
        <v/>
      </c>
      <c r="Z3709" s="12" t="inlineStr">
        <is>
          <t>VD 1.9 %</t>
        </is>
      </c>
      <c r="AA3709" s="12">
        <f>N3709*O3709</f>
        <v/>
      </c>
    </row>
    <row r="3710">
      <c r="A3710" s="12" t="inlineStr">
        <is>
          <t>G-P-0152</t>
        </is>
      </c>
      <c r="B3710" s="12" t="inlineStr">
        <is>
          <t>G</t>
        </is>
      </c>
      <c r="C3710" s="12" t="inlineStr">
        <is>
          <t>Carbon capture</t>
        </is>
      </c>
      <c r="D3710" s="12" t="inlineStr">
        <is>
          <t>480 V welding receptacle 2</t>
        </is>
      </c>
      <c r="E3710" s="12" t="inlineStr"/>
      <c r="F3710" s="12" t="inlineStr">
        <is>
          <t>CCS MV switchgear building (VFDs)</t>
        </is>
      </c>
      <c r="G3710" s="12" t="inlineStr"/>
      <c r="H3710" s="12" t="inlineStr">
        <is>
          <t>CO2 compression 3 x ~19 MW + dehydration</t>
        </is>
      </c>
      <c r="I3710" s="12" t="inlineStr">
        <is>
          <t>LV 600 V</t>
        </is>
      </c>
      <c r="J3710" s="12" t="inlineStr">
        <is>
          <t>Type TC-ER 600 V 3/C Cu XHHW-2 + ground, PVC jacket</t>
        </is>
      </c>
      <c r="K3710" s="12" t="inlineStr">
        <is>
          <t>LV|3/C+G|2</t>
        </is>
      </c>
      <c r="L3710" s="12" t="inlineStr">
        <is>
          <t>3/C+G</t>
        </is>
      </c>
      <c r="M3710" s="12" t="inlineStr">
        <is>
          <t>2</t>
        </is>
      </c>
      <c r="N3710" s="12" t="n">
        <v>1</v>
      </c>
      <c r="O3710" s="12" t="n">
        <v>1</v>
      </c>
      <c r="P3710" s="12" t="n">
        <v>480</v>
      </c>
      <c r="Q3710" s="12" t="n">
        <v>60</v>
      </c>
      <c r="R3710" s="12" t="n">
        <v>76</v>
      </c>
      <c r="S3710" s="12" t="inlineStr">
        <is>
          <t>Duct bank</t>
        </is>
      </c>
      <c r="T3710" s="15" t="n">
        <v>291</v>
      </c>
      <c r="U3710" s="15" t="n">
        <v>36</v>
      </c>
      <c r="V3710" s="15">
        <f>ROUNDUP((T3710+U3710+2*'Read Me'!$B$13)*(1+'Read Me'!$B$12),-1)</f>
        <v/>
      </c>
      <c r="W3710" s="15">
        <f>V3710*N3710*O3710</f>
        <v/>
      </c>
      <c r="X3710" s="12">
        <f>IF(LEFT(I3710,2)="MV",2*N3710*IF(L3710="1/C",O3710,1),0)</f>
        <v/>
      </c>
      <c r="Y3710" s="12">
        <f>IF(OR(LEFT(K3710,4)="LVAX",LEFT(K3710,6)="MV15AX",LEFT(K3710,4)="CTAX",LEFT(K3710,2)="W|"),2*N3710*O3710,0)</f>
        <v/>
      </c>
      <c r="Z3710" s="12" t="inlineStr">
        <is>
          <t>VD 1.9 %</t>
        </is>
      </c>
      <c r="AA3710" s="12">
        <f>N3710*O3710</f>
        <v/>
      </c>
    </row>
    <row r="3711">
      <c r="A3711" s="12" t="inlineStr">
        <is>
          <t>G-P-0153</t>
        </is>
      </c>
      <c r="B3711" s="12" t="inlineStr">
        <is>
          <t>G</t>
        </is>
      </c>
      <c r="C3711" s="12" t="inlineStr">
        <is>
          <t>Carbon capture</t>
        </is>
      </c>
      <c r="D3711" s="12" t="inlineStr">
        <is>
          <t>480 V welding receptacle 3</t>
        </is>
      </c>
      <c r="E3711" s="12" t="inlineStr"/>
      <c r="F3711" s="12" t="inlineStr">
        <is>
          <t>CCS MV switchgear building (VFDs)</t>
        </is>
      </c>
      <c r="G3711" s="12" t="inlineStr"/>
      <c r="H3711" s="12" t="inlineStr">
        <is>
          <t>CO2 compression 3 x ~19 MW + dehydration</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60</v>
      </c>
      <c r="R3711" s="12" t="n">
        <v>76</v>
      </c>
      <c r="S3711" s="12" t="inlineStr">
        <is>
          <t>Duct bank</t>
        </is>
      </c>
      <c r="T3711" s="15" t="n">
        <v>291</v>
      </c>
      <c r="U3711" s="15" t="n">
        <v>36</v>
      </c>
      <c r="V3711" s="15">
        <f>ROUNDUP((T3711+U3711+2*'Read Me'!$B$13)*(1+'Read Me'!$B$12),-1)</f>
        <v/>
      </c>
      <c r="W3711" s="15">
        <f>V3711*N3711*O3711</f>
        <v/>
      </c>
      <c r="X3711" s="12">
        <f>IF(LEFT(I3711,2)="MV",2*N3711*IF(L3711="1/C",O3711,1),0)</f>
        <v/>
      </c>
      <c r="Y3711" s="12">
        <f>IF(OR(LEFT(K3711,4)="LVAX",LEFT(K3711,6)="MV15AX",LEFT(K3711,4)="CTAX",LEFT(K3711,2)="W|"),2*N3711*O3711,0)</f>
        <v/>
      </c>
      <c r="Z3711" s="12" t="inlineStr">
        <is>
          <t>VD 1.9 %</t>
        </is>
      </c>
      <c r="AA3711" s="12">
        <f>N3711*O3711</f>
        <v/>
      </c>
    </row>
    <row r="3712">
      <c r="A3712" s="12" t="inlineStr">
        <is>
          <t>G-P-0154</t>
        </is>
      </c>
      <c r="B3712" s="12" t="inlineStr">
        <is>
          <t>G</t>
        </is>
      </c>
      <c r="C3712" s="12" t="inlineStr">
        <is>
          <t>Carbon capture</t>
        </is>
      </c>
      <c r="D3712" s="12" t="inlineStr">
        <is>
          <t>480 V welding receptacle 4</t>
        </is>
      </c>
      <c r="E3712" s="12" t="inlineStr"/>
      <c r="F3712" s="12" t="inlineStr">
        <is>
          <t>CCS MV switchgear building (VFDs)</t>
        </is>
      </c>
      <c r="G3712" s="12" t="inlineStr"/>
      <c r="H3712" s="12" t="inlineStr">
        <is>
          <t>CO2 compression 3 x ~19 MW + dehydration</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60</v>
      </c>
      <c r="R3712" s="12" t="n">
        <v>76</v>
      </c>
      <c r="S3712" s="12" t="inlineStr">
        <is>
          <t>Duct bank</t>
        </is>
      </c>
      <c r="T3712" s="15" t="n">
        <v>291</v>
      </c>
      <c r="U3712" s="15" t="n">
        <v>36</v>
      </c>
      <c r="V3712" s="15">
        <f>ROUNDUP((T3712+U3712+2*'Read Me'!$B$13)*(1+'Read Me'!$B$12),-1)</f>
        <v/>
      </c>
      <c r="W3712" s="15">
        <f>V3712*N3712*O3712</f>
        <v/>
      </c>
      <c r="X3712" s="12">
        <f>IF(LEFT(I3712,2)="MV",2*N3712*IF(L3712="1/C",O3712,1),0)</f>
        <v/>
      </c>
      <c r="Y3712" s="12">
        <f>IF(OR(LEFT(K3712,4)="LVAX",LEFT(K3712,6)="MV15AX",LEFT(K3712,4)="CTAX",LEFT(K3712,2)="W|"),2*N3712*O3712,0)</f>
        <v/>
      </c>
      <c r="Z3712" s="12" t="inlineStr">
        <is>
          <t>VD 1.9 %</t>
        </is>
      </c>
      <c r="AA3712" s="12">
        <f>N3712*O3712</f>
        <v/>
      </c>
    </row>
    <row r="3713">
      <c r="A3713" s="12" t="inlineStr">
        <is>
          <t>G-P-0155</t>
        </is>
      </c>
      <c r="B3713" s="12" t="inlineStr">
        <is>
          <t>G</t>
        </is>
      </c>
      <c r="C3713" s="12" t="inlineStr">
        <is>
          <t>Carbon capture</t>
        </is>
      </c>
      <c r="D3713" s="12" t="inlineStr">
        <is>
          <t>Motor 1 of 2, 20 kW</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LV|3/C+G|6</t>
        </is>
      </c>
      <c r="L3713" s="12" t="inlineStr">
        <is>
          <t>3/C+G</t>
        </is>
      </c>
      <c r="M3713" s="12" t="inlineStr">
        <is>
          <t>6</t>
        </is>
      </c>
      <c r="N3713" s="12" t="n">
        <v>1</v>
      </c>
      <c r="O3713" s="12" t="n">
        <v>1</v>
      </c>
      <c r="P3713" s="12" t="n">
        <v>480</v>
      </c>
      <c r="Q3713" s="12" t="n">
        <v>20</v>
      </c>
      <c r="R3713" s="12" t="n">
        <v>28.3</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2.6 %</t>
        </is>
      </c>
      <c r="AA3713" s="12">
        <f>N3713*O3713</f>
        <v/>
      </c>
    </row>
    <row r="3714">
      <c r="A3714" s="12" t="inlineStr">
        <is>
          <t>G-P-0156</t>
        </is>
      </c>
      <c r="B3714" s="12" t="inlineStr">
        <is>
          <t>G</t>
        </is>
      </c>
      <c r="C3714" s="12" t="inlineStr">
        <is>
          <t>Carbon capture</t>
        </is>
      </c>
      <c r="D3714" s="12" t="inlineStr">
        <is>
          <t>Motor 2 of 2, 20 kW</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LV|3/C+G|6</t>
        </is>
      </c>
      <c r="L3714" s="12" t="inlineStr">
        <is>
          <t>3/C+G</t>
        </is>
      </c>
      <c r="M3714" s="12" t="inlineStr">
        <is>
          <t>6</t>
        </is>
      </c>
      <c r="N3714" s="12" t="n">
        <v>1</v>
      </c>
      <c r="O3714" s="12" t="n">
        <v>1</v>
      </c>
      <c r="P3714" s="12" t="n">
        <v>480</v>
      </c>
      <c r="Q3714" s="12" t="n">
        <v>20</v>
      </c>
      <c r="R3714" s="12" t="n">
        <v>28.3</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2.6 %</t>
        </is>
      </c>
      <c r="AA3714" s="12">
        <f>N3714*O3714</f>
        <v/>
      </c>
    </row>
    <row r="3715">
      <c r="A3715" s="12" t="inlineStr">
        <is>
          <t>G-P-0157</t>
        </is>
      </c>
      <c r="B3715" s="12" t="inlineStr">
        <is>
          <t>G</t>
        </is>
      </c>
      <c r="C3715" s="12" t="inlineStr">
        <is>
          <t>Carbon capture</t>
        </is>
      </c>
      <c r="D3715" s="12" t="inlineStr">
        <is>
          <t>Motor 1 of 1, 200 kW</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1.3 %</t>
        </is>
      </c>
      <c r="AA3715" s="12">
        <f>N3715*O3715</f>
        <v/>
      </c>
    </row>
    <row r="3716">
      <c r="A3716" s="12" t="inlineStr">
        <is>
          <t>G-P-0158</t>
        </is>
      </c>
      <c r="B3716" s="12" t="inlineStr">
        <is>
          <t>G</t>
        </is>
      </c>
      <c r="C3716" s="12" t="inlineStr">
        <is>
          <t>Carbon capture</t>
        </is>
      </c>
      <c r="D3716" s="12" t="inlineStr">
        <is>
          <t>MOV 1: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G-P-0159</t>
        </is>
      </c>
      <c r="B3717" s="12" t="inlineStr">
        <is>
          <t>G</t>
        </is>
      </c>
      <c r="C3717" s="12" t="inlineStr">
        <is>
          <t>Carbon capture</t>
        </is>
      </c>
      <c r="D3717" s="12" t="inlineStr">
        <is>
          <t>MOV 2: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G-P-0160</t>
        </is>
      </c>
      <c r="B3718" s="12" t="inlineStr">
        <is>
          <t>G</t>
        </is>
      </c>
      <c r="C3718" s="12" t="inlineStr">
        <is>
          <t>Carbon capture</t>
        </is>
      </c>
      <c r="D3718" s="12" t="inlineStr">
        <is>
          <t>MOV 3: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G-P-0161</t>
        </is>
      </c>
      <c r="B3719" s="12" t="inlineStr">
        <is>
          <t>G</t>
        </is>
      </c>
      <c r="C3719" s="12" t="inlineStr">
        <is>
          <t>Carbon capture</t>
        </is>
      </c>
      <c r="D3719" s="12" t="inlineStr">
        <is>
          <t>MOV 4: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G-P-0162</t>
        </is>
      </c>
      <c r="B3720" s="12" t="inlineStr">
        <is>
          <t>G</t>
        </is>
      </c>
      <c r="C3720" s="12" t="inlineStr">
        <is>
          <t>Carbon capture</t>
        </is>
      </c>
      <c r="D3720" s="12" t="inlineStr">
        <is>
          <t>MOV 5: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G-P-0163</t>
        </is>
      </c>
      <c r="B3721" s="12" t="inlineStr">
        <is>
          <t>G</t>
        </is>
      </c>
      <c r="C3721" s="12" t="inlineStr">
        <is>
          <t>Carbon capture</t>
        </is>
      </c>
      <c r="D3721" s="12" t="inlineStr">
        <is>
          <t>MOV 6: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G-P-0164</t>
        </is>
      </c>
      <c r="B3722" s="12" t="inlineStr">
        <is>
          <t>G</t>
        </is>
      </c>
      <c r="C3722" s="12" t="inlineStr">
        <is>
          <t>Carbon capture</t>
        </is>
      </c>
      <c r="D3722" s="12" t="inlineStr">
        <is>
          <t>MOV 7: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G-P-0165</t>
        </is>
      </c>
      <c r="B3723" s="12" t="inlineStr">
        <is>
          <t>G</t>
        </is>
      </c>
      <c r="C3723" s="12" t="inlineStr">
        <is>
          <t>Carbon capture</t>
        </is>
      </c>
      <c r="D3723" s="12" t="inlineStr">
        <is>
          <t>MOV 8: power</t>
        </is>
      </c>
      <c r="E3723" s="12" t="inlineStr"/>
      <c r="F3723" s="12" t="inlineStr">
        <is>
          <t>CCS MV switchgear building (VFDs)</t>
        </is>
      </c>
      <c r="G3723" s="12" t="inlineStr"/>
      <c r="H3723" s="12" t="inlineStr">
        <is>
          <t>CO2 dehydration: molecular-sieve towers and regeneration heater</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5" t="n">
        <v>305</v>
      </c>
      <c r="U3723" s="15" t="n">
        <v>160</v>
      </c>
      <c r="V3723" s="15">
        <f>ROUNDUP((T3723+U3723+2*'Read Me'!$B$13)*(1+'Read Me'!$B$12),-1)</f>
        <v/>
      </c>
      <c r="W3723" s="15">
        <f>V3723*N3723*O3723</f>
        <v/>
      </c>
      <c r="X3723" s="12">
        <f>IF(LEFT(I3723,2)="MV",2*N3723*IF(L3723="1/C",O3723,1),0)</f>
        <v/>
      </c>
      <c r="Y3723" s="12">
        <f>IF(OR(LEFT(K3723,4)="LVAX",LEFT(K3723,6)="MV15AX",LEFT(K3723,4)="CTAX",LEFT(K3723,2)="W|"),2*N3723*O3723,0)</f>
        <v/>
      </c>
      <c r="Z3723" s="12" t="inlineStr">
        <is>
          <t>VD 0.8 %</t>
        </is>
      </c>
      <c r="AA3723" s="12">
        <f>N3723*O3723</f>
        <v/>
      </c>
    </row>
    <row r="3724">
      <c r="A3724" s="12" t="inlineStr">
        <is>
          <t>G-P-0166</t>
        </is>
      </c>
      <c r="B3724" s="12" t="inlineStr">
        <is>
          <t>G</t>
        </is>
      </c>
      <c r="C3724" s="12" t="inlineStr">
        <is>
          <t>Carbon capture</t>
        </is>
      </c>
      <c r="D3724" s="12" t="inlineStr">
        <is>
          <t>MOV 9: power</t>
        </is>
      </c>
      <c r="E3724" s="12" t="inlineStr"/>
      <c r="F3724" s="12" t="inlineStr">
        <is>
          <t>CCS MV switchgear building (VFDs)</t>
        </is>
      </c>
      <c r="G3724" s="12" t="inlineStr"/>
      <c r="H3724" s="12" t="inlineStr">
        <is>
          <t>CO2 dehydration: molecular-sieve towers and regeneration heater</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5" t="n">
        <v>305</v>
      </c>
      <c r="U3724" s="15" t="n">
        <v>160</v>
      </c>
      <c r="V3724" s="15">
        <f>ROUNDUP((T3724+U3724+2*'Read Me'!$B$13)*(1+'Read Me'!$B$12),-1)</f>
        <v/>
      </c>
      <c r="W3724" s="15">
        <f>V3724*N3724*O3724</f>
        <v/>
      </c>
      <c r="X3724" s="12">
        <f>IF(LEFT(I3724,2)="MV",2*N3724*IF(L3724="1/C",O3724,1),0)</f>
        <v/>
      </c>
      <c r="Y3724" s="12">
        <f>IF(OR(LEFT(K3724,4)="LVAX",LEFT(K3724,6)="MV15AX",LEFT(K3724,4)="CTAX",LEFT(K3724,2)="W|"),2*N3724*O3724,0)</f>
        <v/>
      </c>
      <c r="Z3724" s="12" t="inlineStr">
        <is>
          <t>VD 0.8 %</t>
        </is>
      </c>
      <c r="AA3724" s="12">
        <f>N3724*O3724</f>
        <v/>
      </c>
    </row>
    <row r="3725">
      <c r="A3725" s="12" t="inlineStr">
        <is>
          <t>G-P-0167</t>
        </is>
      </c>
      <c r="B3725" s="12" t="inlineStr">
        <is>
          <t>G</t>
        </is>
      </c>
      <c r="C3725" s="12" t="inlineStr">
        <is>
          <t>Carbon capture</t>
        </is>
      </c>
      <c r="D3725" s="12" t="inlineStr">
        <is>
          <t>MOV 10: power</t>
        </is>
      </c>
      <c r="E3725" s="12" t="inlineStr"/>
      <c r="F3725" s="12" t="inlineStr">
        <is>
          <t>CCS MV switchgear building (VFDs)</t>
        </is>
      </c>
      <c r="G3725" s="12" t="inlineStr"/>
      <c r="H3725" s="12" t="inlineStr">
        <is>
          <t>CO2 dehydration: molecular-sieve towers and regeneration heater</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5" t="n">
        <v>305</v>
      </c>
      <c r="U3725" s="15" t="n">
        <v>160</v>
      </c>
      <c r="V3725" s="15">
        <f>ROUNDUP((T3725+U3725+2*'Read Me'!$B$13)*(1+'Read Me'!$B$12),-1)</f>
        <v/>
      </c>
      <c r="W3725" s="15">
        <f>V3725*N3725*O3725</f>
        <v/>
      </c>
      <c r="X3725" s="12">
        <f>IF(LEFT(I3725,2)="MV",2*N3725*IF(L3725="1/C",O3725,1),0)</f>
        <v/>
      </c>
      <c r="Y3725" s="12">
        <f>IF(OR(LEFT(K3725,4)="LVAX",LEFT(K3725,6)="MV15AX",LEFT(K3725,4)="CTAX",LEFT(K3725,2)="W|"),2*N3725*O3725,0)</f>
        <v/>
      </c>
      <c r="Z3725" s="12" t="inlineStr">
        <is>
          <t>VD 0.8 %</t>
        </is>
      </c>
      <c r="AA3725" s="12">
        <f>N3725*O3725</f>
        <v/>
      </c>
    </row>
    <row r="3726">
      <c r="A3726" s="12" t="inlineStr">
        <is>
          <t>G-P-0168</t>
        </is>
      </c>
      <c r="B3726" s="12" t="inlineStr">
        <is>
          <t>G</t>
        </is>
      </c>
      <c r="C3726" s="12" t="inlineStr">
        <is>
          <t>Carbon capture</t>
        </is>
      </c>
      <c r="D3726" s="12" t="inlineStr">
        <is>
          <t>MOV 11: power</t>
        </is>
      </c>
      <c r="E3726" s="12" t="inlineStr"/>
      <c r="F3726" s="12" t="inlineStr">
        <is>
          <t>CCS MV switchgear building (VFDs)</t>
        </is>
      </c>
      <c r="G3726" s="12" t="inlineStr"/>
      <c r="H3726" s="12" t="inlineStr">
        <is>
          <t>CO2 dehydration: molecular-sieve towers and regeneration heater</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5" t="n">
        <v>305</v>
      </c>
      <c r="U3726" s="15" t="n">
        <v>160</v>
      </c>
      <c r="V3726" s="15">
        <f>ROUNDUP((T3726+U3726+2*'Read Me'!$B$13)*(1+'Read Me'!$B$12),-1)</f>
        <v/>
      </c>
      <c r="W3726" s="15">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G-P-0169</t>
        </is>
      </c>
      <c r="B3727" s="12" t="inlineStr">
        <is>
          <t>G</t>
        </is>
      </c>
      <c r="C3727" s="12" t="inlineStr">
        <is>
          <t>Carbon capture</t>
        </is>
      </c>
      <c r="D3727" s="12" t="inlineStr">
        <is>
          <t>MOV 12: power</t>
        </is>
      </c>
      <c r="E3727" s="12" t="inlineStr"/>
      <c r="F3727" s="12" t="inlineStr">
        <is>
          <t>CCS MV switchgear building (VFDs)</t>
        </is>
      </c>
      <c r="G3727" s="12" t="inlineStr"/>
      <c r="H3727" s="12" t="inlineStr">
        <is>
          <t>CO2 dehydration: molecular-sieve towers and regeneration heater</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5" t="n">
        <v>305</v>
      </c>
      <c r="U3727" s="15" t="n">
        <v>160</v>
      </c>
      <c r="V3727" s="15">
        <f>ROUNDUP((T3727+U3727+2*'Read Me'!$B$13)*(1+'Read Me'!$B$12),-1)</f>
        <v/>
      </c>
      <c r="W3727" s="15">
        <f>V3727*N3727*O3727</f>
        <v/>
      </c>
      <c r="X3727" s="12">
        <f>IF(LEFT(I3727,2)="MV",2*N3727*IF(L3727="1/C",O3727,1),0)</f>
        <v/>
      </c>
      <c r="Y3727" s="12">
        <f>IF(OR(LEFT(K3727,4)="LVAX",LEFT(K3727,6)="MV15AX",LEFT(K3727,4)="CTAX",LEFT(K3727,2)="W|"),2*N3727*O3727,0)</f>
        <v/>
      </c>
      <c r="Z3727" s="12" t="inlineStr">
        <is>
          <t>VD 0.8 %</t>
        </is>
      </c>
      <c r="AA3727" s="12">
        <f>N3727*O3727</f>
        <v/>
      </c>
    </row>
    <row r="3728">
      <c r="A3728" s="12" t="inlineStr">
        <is>
          <t>G-P-0170</t>
        </is>
      </c>
      <c r="B3728" s="12" t="inlineStr">
        <is>
          <t>G</t>
        </is>
      </c>
      <c r="C3728" s="12" t="inlineStr">
        <is>
          <t>Carbon capture</t>
        </is>
      </c>
      <c r="D3728" s="12" t="inlineStr">
        <is>
          <t>Motor 1 of 4, 30 kW</t>
        </is>
      </c>
      <c r="E3728" s="12" t="inlineStr"/>
      <c r="F3728" s="12" t="inlineStr">
        <is>
          <t>CCS MV switchgear building (VFDs)</t>
        </is>
      </c>
      <c r="G3728" s="12" t="inlineStr"/>
      <c r="H3728" s="12" t="inlineStr">
        <is>
          <t>CONDITIONAL: HP export compressor + metering</t>
        </is>
      </c>
      <c r="I3728" s="12" t="inlineStr">
        <is>
          <t>LV 600 V</t>
        </is>
      </c>
      <c r="J3728" s="12" t="inlineStr">
        <is>
          <t>ARMOR-X MC-HL 600 V 3/C Cu XHHW-2 + ground, CWA, black PVC (Class I Div 2)</t>
        </is>
      </c>
      <c r="K3728" s="12" t="inlineStr">
        <is>
          <t>LVAX|3/C+G|6</t>
        </is>
      </c>
      <c r="L3728" s="12" t="inlineStr">
        <is>
          <t>3/C+G</t>
        </is>
      </c>
      <c r="M3728" s="12" t="inlineStr">
        <is>
          <t>6</t>
        </is>
      </c>
      <c r="N3728" s="12" t="n">
        <v>1</v>
      </c>
      <c r="O3728" s="12" t="n">
        <v>1</v>
      </c>
      <c r="P3728" s="12" t="n">
        <v>480</v>
      </c>
      <c r="Q3728" s="12" t="n">
        <v>30</v>
      </c>
      <c r="R3728" s="12" t="n">
        <v>42.5</v>
      </c>
      <c r="S3728" s="12" t="inlineStr">
        <is>
          <t>Duct bank</t>
        </is>
      </c>
      <c r="T3728" s="15" t="n">
        <v>303</v>
      </c>
      <c r="U3728" s="15" t="n">
        <v>34</v>
      </c>
      <c r="V3728" s="15">
        <f>ROUNDUP((T3728+U3728+2*'Read Me'!$B$13)*(1+'Read Me'!$B$12),-1)</f>
        <v/>
      </c>
      <c r="W3728" s="15">
        <f>V3728*N3728*O3728</f>
        <v/>
      </c>
      <c r="X3728" s="12">
        <f>IF(LEFT(I3728,2)="MV",2*N3728*IF(L3728="1/C",O3728,1),0)</f>
        <v/>
      </c>
      <c r="Y3728" s="12">
        <f>IF(OR(LEFT(K3728,4)="LVAX",LEFT(K3728,6)="MV15AX",LEFT(K3728,4)="CTAX",LEFT(K3728,2)="W|"),2*N3728*O3728,0)</f>
        <v/>
      </c>
      <c r="Z3728" s="12" t="inlineStr">
        <is>
          <t>VD 2.8 %</t>
        </is>
      </c>
      <c r="AA3728" s="12">
        <f>N3728*O3728</f>
        <v/>
      </c>
    </row>
    <row r="3729">
      <c r="A3729" s="12" t="inlineStr">
        <is>
          <t>G-P-0171</t>
        </is>
      </c>
      <c r="B3729" s="12" t="inlineStr">
        <is>
          <t>G</t>
        </is>
      </c>
      <c r="C3729" s="12" t="inlineStr">
        <is>
          <t>Carbon capture</t>
        </is>
      </c>
      <c r="D3729" s="12" t="inlineStr">
        <is>
          <t>Motor 2 of 4, 30 kW</t>
        </is>
      </c>
      <c r="E3729" s="12" t="inlineStr"/>
      <c r="F3729" s="12" t="inlineStr">
        <is>
          <t>CCS MV switchgear building (VFDs)</t>
        </is>
      </c>
      <c r="G3729" s="12" t="inlineStr"/>
      <c r="H3729" s="12" t="inlineStr">
        <is>
          <t>CONDITIONAL: HP export compressor + metering</t>
        </is>
      </c>
      <c r="I3729" s="12" t="inlineStr">
        <is>
          <t>LV 600 V</t>
        </is>
      </c>
      <c r="J3729" s="12" t="inlineStr">
        <is>
          <t>ARMOR-X MC-HL 600 V 3/C Cu XHHW-2 + ground, CWA, black PVC (Class I Div 2)</t>
        </is>
      </c>
      <c r="K3729" s="12" t="inlineStr">
        <is>
          <t>LVAX|3/C+G|6</t>
        </is>
      </c>
      <c r="L3729" s="12" t="inlineStr">
        <is>
          <t>3/C+G</t>
        </is>
      </c>
      <c r="M3729" s="12" t="inlineStr">
        <is>
          <t>6</t>
        </is>
      </c>
      <c r="N3729" s="12" t="n">
        <v>1</v>
      </c>
      <c r="O3729" s="12" t="n">
        <v>1</v>
      </c>
      <c r="P3729" s="12" t="n">
        <v>480</v>
      </c>
      <c r="Q3729" s="12" t="n">
        <v>30</v>
      </c>
      <c r="R3729" s="12" t="n">
        <v>42.5</v>
      </c>
      <c r="S3729" s="12" t="inlineStr">
        <is>
          <t>Duct bank</t>
        </is>
      </c>
      <c r="T3729" s="15" t="n">
        <v>303</v>
      </c>
      <c r="U3729" s="15" t="n">
        <v>34</v>
      </c>
      <c r="V3729" s="15">
        <f>ROUNDUP((T3729+U3729+2*'Read Me'!$B$13)*(1+'Read Me'!$B$12),-1)</f>
        <v/>
      </c>
      <c r="W3729" s="15">
        <f>V3729*N3729*O3729</f>
        <v/>
      </c>
      <c r="X3729" s="12">
        <f>IF(LEFT(I3729,2)="MV",2*N3729*IF(L3729="1/C",O3729,1),0)</f>
        <v/>
      </c>
      <c r="Y3729" s="12">
        <f>IF(OR(LEFT(K3729,4)="LVAX",LEFT(K3729,6)="MV15AX",LEFT(K3729,4)="CTAX",LEFT(K3729,2)="W|"),2*N3729*O3729,0)</f>
        <v/>
      </c>
      <c r="Z3729" s="12" t="inlineStr">
        <is>
          <t>VD 2.8 %</t>
        </is>
      </c>
      <c r="AA3729" s="12">
        <f>N3729*O3729</f>
        <v/>
      </c>
    </row>
    <row r="3730">
      <c r="A3730" s="12" t="inlineStr">
        <is>
          <t>G-P-0172</t>
        </is>
      </c>
      <c r="B3730" s="12" t="inlineStr">
        <is>
          <t>G</t>
        </is>
      </c>
      <c r="C3730" s="12" t="inlineStr">
        <is>
          <t>Carbon capture</t>
        </is>
      </c>
      <c r="D3730" s="12" t="inlineStr">
        <is>
          <t>Motor 3 of 4, 30 kW</t>
        </is>
      </c>
      <c r="E3730" s="12" t="inlineStr"/>
      <c r="F3730" s="12" t="inlineStr">
        <is>
          <t>CCS MV switchgear building (VFDs)</t>
        </is>
      </c>
      <c r="G3730" s="12" t="inlineStr"/>
      <c r="H3730" s="12" t="inlineStr">
        <is>
          <t>CONDITIONAL: HP export compressor + metering</t>
        </is>
      </c>
      <c r="I3730" s="12" t="inlineStr">
        <is>
          <t>LV 600 V</t>
        </is>
      </c>
      <c r="J3730" s="12" t="inlineStr">
        <is>
          <t>ARMOR-X MC-HL 600 V 3/C Cu XHHW-2 + ground, CWA, black PVC (Class I Div 2)</t>
        </is>
      </c>
      <c r="K3730" s="12" t="inlineStr">
        <is>
          <t>LVAX|3/C+G|6</t>
        </is>
      </c>
      <c r="L3730" s="12" t="inlineStr">
        <is>
          <t>3/C+G</t>
        </is>
      </c>
      <c r="M3730" s="12" t="inlineStr">
        <is>
          <t>6</t>
        </is>
      </c>
      <c r="N3730" s="12" t="n">
        <v>1</v>
      </c>
      <c r="O3730" s="12" t="n">
        <v>1</v>
      </c>
      <c r="P3730" s="12" t="n">
        <v>480</v>
      </c>
      <c r="Q3730" s="12" t="n">
        <v>30</v>
      </c>
      <c r="R3730" s="12" t="n">
        <v>42.5</v>
      </c>
      <c r="S3730" s="12" t="inlineStr">
        <is>
          <t>Duct bank</t>
        </is>
      </c>
      <c r="T3730" s="15" t="n">
        <v>303</v>
      </c>
      <c r="U3730" s="15" t="n">
        <v>34</v>
      </c>
      <c r="V3730" s="15">
        <f>ROUNDUP((T3730+U3730+2*'Read Me'!$B$13)*(1+'Read Me'!$B$12),-1)</f>
        <v/>
      </c>
      <c r="W3730" s="15">
        <f>V3730*N3730*O3730</f>
        <v/>
      </c>
      <c r="X3730" s="12">
        <f>IF(LEFT(I3730,2)="MV",2*N3730*IF(L3730="1/C",O3730,1),0)</f>
        <v/>
      </c>
      <c r="Y3730" s="12">
        <f>IF(OR(LEFT(K3730,4)="LVAX",LEFT(K3730,6)="MV15AX",LEFT(K3730,4)="CTAX",LEFT(K3730,2)="W|"),2*N3730*O3730,0)</f>
        <v/>
      </c>
      <c r="Z3730" s="12" t="inlineStr">
        <is>
          <t>VD 2.8 %</t>
        </is>
      </c>
      <c r="AA3730" s="12">
        <f>N3730*O3730</f>
        <v/>
      </c>
    </row>
    <row r="3731">
      <c r="A3731" s="12" t="inlineStr">
        <is>
          <t>G-P-0173</t>
        </is>
      </c>
      <c r="B3731" s="12" t="inlineStr">
        <is>
          <t>G</t>
        </is>
      </c>
      <c r="C3731" s="12" t="inlineStr">
        <is>
          <t>Carbon capture</t>
        </is>
      </c>
      <c r="D3731" s="12" t="inlineStr">
        <is>
          <t>Motor 4 of 4, 30 kW</t>
        </is>
      </c>
      <c r="E3731" s="12" t="inlineStr"/>
      <c r="F3731" s="12" t="inlineStr">
        <is>
          <t>CCS MV switchgear building (VFDs)</t>
        </is>
      </c>
      <c r="G3731" s="12" t="inlineStr"/>
      <c r="H3731" s="12" t="inlineStr">
        <is>
          <t>CONDITIONAL: HP export compressor + metering</t>
        </is>
      </c>
      <c r="I3731" s="12" t="inlineStr">
        <is>
          <t>LV 600 V</t>
        </is>
      </c>
      <c r="J3731" s="12" t="inlineStr">
        <is>
          <t>ARMOR-X MC-HL 600 V 3/C Cu XHHW-2 + ground, CWA, black PVC (Class I Div 2)</t>
        </is>
      </c>
      <c r="K3731" s="12" t="inlineStr">
        <is>
          <t>LVAX|3/C+G|6</t>
        </is>
      </c>
      <c r="L3731" s="12" t="inlineStr">
        <is>
          <t>3/C+G</t>
        </is>
      </c>
      <c r="M3731" s="12" t="inlineStr">
        <is>
          <t>6</t>
        </is>
      </c>
      <c r="N3731" s="12" t="n">
        <v>1</v>
      </c>
      <c r="O3731" s="12" t="n">
        <v>1</v>
      </c>
      <c r="P3731" s="12" t="n">
        <v>480</v>
      </c>
      <c r="Q3731" s="12" t="n">
        <v>30</v>
      </c>
      <c r="R3731" s="12" t="n">
        <v>42.5</v>
      </c>
      <c r="S3731" s="12" t="inlineStr">
        <is>
          <t>Duct bank</t>
        </is>
      </c>
      <c r="T3731" s="15" t="n">
        <v>303</v>
      </c>
      <c r="U3731" s="15" t="n">
        <v>34</v>
      </c>
      <c r="V3731" s="15">
        <f>ROUNDUP((T3731+U3731+2*'Read Me'!$B$13)*(1+'Read Me'!$B$12),-1)</f>
        <v/>
      </c>
      <c r="W3731" s="15">
        <f>V3731*N3731*O3731</f>
        <v/>
      </c>
      <c r="X3731" s="12">
        <f>IF(LEFT(I3731,2)="MV",2*N3731*IF(L3731="1/C",O3731,1),0)</f>
        <v/>
      </c>
      <c r="Y3731" s="12">
        <f>IF(OR(LEFT(K3731,4)="LVAX",LEFT(K3731,6)="MV15AX",LEFT(K3731,4)="CTAX",LEFT(K3731,2)="W|"),2*N3731*O3731,0)</f>
        <v/>
      </c>
      <c r="Z3731" s="12" t="inlineStr">
        <is>
          <t>VD 2.8 %</t>
        </is>
      </c>
      <c r="AA3731" s="12">
        <f>N3731*O3731</f>
        <v/>
      </c>
    </row>
    <row r="3732">
      <c r="A3732" s="12" t="inlineStr">
        <is>
          <t>G-P-0174</t>
        </is>
      </c>
      <c r="B3732" s="12" t="inlineStr">
        <is>
          <t>G</t>
        </is>
      </c>
      <c r="C3732" s="12" t="inlineStr">
        <is>
          <t>Carbon capture</t>
        </is>
      </c>
      <c r="D3732" s="12" t="inlineStr">
        <is>
          <t>Motor 1 of 2, 200 kW</t>
        </is>
      </c>
      <c r="E3732" s="12" t="inlineStr"/>
      <c r="F3732" s="12" t="inlineStr">
        <is>
          <t>CCS MV switchgear building (VFDs)</t>
        </is>
      </c>
      <c r="G3732" s="12" t="inlineStr"/>
      <c r="H3732" s="12" t="inlineStr">
        <is>
          <t>DCC-A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515</v>
      </c>
      <c r="U3732" s="15" t="n">
        <v>164</v>
      </c>
      <c r="V3732" s="15">
        <f>ROUNDUP((T3732+U3732+2*'Read Me'!$B$13)*(1+'Read Me'!$B$12),-1)</f>
        <v/>
      </c>
      <c r="W3732" s="15">
        <f>V3732*N3732*O3732</f>
        <v/>
      </c>
      <c r="X3732" s="12">
        <f>IF(LEFT(I3732,2)="MV",2*N3732*IF(L3732="1/C",O3732,1),0)</f>
        <v/>
      </c>
      <c r="Y3732" s="12">
        <f>IF(OR(LEFT(K3732,4)="LVAX",LEFT(K3732,6)="MV15AX",LEFT(K3732,4)="CTAX",LEFT(K3732,2)="W|"),2*N3732*O3732,0)</f>
        <v/>
      </c>
      <c r="Z3732" s="12" t="inlineStr">
        <is>
          <t>VD 2.0 %</t>
        </is>
      </c>
      <c r="AA3732" s="12">
        <f>N3732*O3732</f>
        <v/>
      </c>
    </row>
    <row r="3733">
      <c r="A3733" s="12" t="inlineStr">
        <is>
          <t>G-P-0175</t>
        </is>
      </c>
      <c r="B3733" s="12" t="inlineStr">
        <is>
          <t>G</t>
        </is>
      </c>
      <c r="C3733" s="12" t="inlineStr">
        <is>
          <t>Carbon capture</t>
        </is>
      </c>
      <c r="D3733" s="12" t="inlineStr">
        <is>
          <t>Motor 2 of 2, 200 kW</t>
        </is>
      </c>
      <c r="E3733" s="12" t="inlineStr"/>
      <c r="F3733" s="12" t="inlineStr">
        <is>
          <t>CCS MV switchgear building (VFDs)</t>
        </is>
      </c>
      <c r="G3733" s="12" t="inlineStr"/>
      <c r="H3733" s="12" t="inlineStr">
        <is>
          <t>DCC-A pumps + water filter</t>
        </is>
      </c>
      <c r="I3733" s="12" t="inlineStr">
        <is>
          <t>LV 600 V</t>
        </is>
      </c>
      <c r="J3733" s="12" t="inlineStr">
        <is>
          <t>Type TC-ER 600 V 3/C Cu XHHW-2 + ground, PVC jacket</t>
        </is>
      </c>
      <c r="K3733" s="12" t="inlineStr">
        <is>
          <t>LV|3/C+G|500</t>
        </is>
      </c>
      <c r="L3733" s="12" t="inlineStr">
        <is>
          <t>3/C+G</t>
        </is>
      </c>
      <c r="M3733" s="12" t="inlineStr">
        <is>
          <t>500 kcmil</t>
        </is>
      </c>
      <c r="N3733" s="12" t="n">
        <v>1</v>
      </c>
      <c r="O3733" s="12" t="n">
        <v>1</v>
      </c>
      <c r="P3733" s="12" t="n">
        <v>480</v>
      </c>
      <c r="Q3733" s="12" t="n">
        <v>200</v>
      </c>
      <c r="R3733" s="12" t="n">
        <v>283</v>
      </c>
      <c r="S3733" s="12" t="inlineStr">
        <is>
          <t>Tray</t>
        </is>
      </c>
      <c r="T3733" s="15" t="n">
        <v>515</v>
      </c>
      <c r="U3733" s="15" t="n">
        <v>164</v>
      </c>
      <c r="V3733" s="15">
        <f>ROUNDUP((T3733+U3733+2*'Read Me'!$B$13)*(1+'Read Me'!$B$12),-1)</f>
        <v/>
      </c>
      <c r="W3733" s="15">
        <f>V3733*N3733*O3733</f>
        <v/>
      </c>
      <c r="X3733" s="12">
        <f>IF(LEFT(I3733,2)="MV",2*N3733*IF(L3733="1/C",O3733,1),0)</f>
        <v/>
      </c>
      <c r="Y3733" s="12">
        <f>IF(OR(LEFT(K3733,4)="LVAX",LEFT(K3733,6)="MV15AX",LEFT(K3733,4)="CTAX",LEFT(K3733,2)="W|"),2*N3733*O3733,0)</f>
        <v/>
      </c>
      <c r="Z3733" s="12" t="inlineStr">
        <is>
          <t>VD 2.0 %</t>
        </is>
      </c>
      <c r="AA3733" s="12">
        <f>N3733*O3733</f>
        <v/>
      </c>
    </row>
    <row r="3734">
      <c r="A3734" s="12" t="inlineStr">
        <is>
          <t>G-P-0176</t>
        </is>
      </c>
      <c r="B3734" s="12" t="inlineStr">
        <is>
          <t>G</t>
        </is>
      </c>
      <c r="C3734" s="12" t="inlineStr">
        <is>
          <t>Carbon capture</t>
        </is>
      </c>
      <c r="D3734" s="12" t="inlineStr">
        <is>
          <t>LV power feeder</t>
        </is>
      </c>
      <c r="E3734" s="12" t="inlineStr"/>
      <c r="F3734" s="12" t="inlineStr">
        <is>
          <t>CCS MV switchgear building (VFDs)</t>
        </is>
      </c>
      <c r="G3734" s="12" t="inlineStr">
        <is>
          <t>DCC-A</t>
        </is>
      </c>
      <c r="H3734" s="12" t="inlineStr">
        <is>
          <t>DCC-A: direct-contact cooler (quench)</t>
        </is>
      </c>
      <c r="I3734" s="12" t="inlineStr">
        <is>
          <t>LV 600 V</t>
        </is>
      </c>
      <c r="J3734" s="12" t="inlineStr">
        <is>
          <t>Type TC-ER 600 V 3/C Cu XHHW-2 + ground, PVC jacket</t>
        </is>
      </c>
      <c r="K3734" s="12" t="inlineStr">
        <is>
          <t>LV|3/C+G|6</t>
        </is>
      </c>
      <c r="L3734" s="12" t="inlineStr">
        <is>
          <t>3/C+G</t>
        </is>
      </c>
      <c r="M3734" s="12" t="inlineStr">
        <is>
          <t>6</t>
        </is>
      </c>
      <c r="N3734" s="12" t="n">
        <v>1</v>
      </c>
      <c r="O3734" s="12" t="n">
        <v>1</v>
      </c>
      <c r="P3734" s="12" t="n">
        <v>480</v>
      </c>
      <c r="Q3734" s="12" t="n">
        <v>15</v>
      </c>
      <c r="R3734" s="12" t="n">
        <v>21.2</v>
      </c>
      <c r="S3734" s="12" t="inlineStr">
        <is>
          <t>Duct bank</t>
        </is>
      </c>
      <c r="T3734" s="15" t="n">
        <v>460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VD 2.2 %</t>
        </is>
      </c>
      <c r="AA3734" s="12">
        <f>N3734*O3734</f>
        <v/>
      </c>
    </row>
    <row r="3735">
      <c r="A3735" s="12" t="inlineStr">
        <is>
          <t>G-P-0177</t>
        </is>
      </c>
      <c r="B3735" s="12" t="inlineStr">
        <is>
          <t>G</t>
        </is>
      </c>
      <c r="C3735" s="12" t="inlineStr">
        <is>
          <t>Carbon capture</t>
        </is>
      </c>
      <c r="D3735" s="12" t="inlineStr">
        <is>
          <t>Area / platform lighting circuit 1 (8 fixtures)</t>
        </is>
      </c>
      <c r="E3735" s="12" t="inlineStr"/>
      <c r="F3735" s="12" t="inlineStr">
        <is>
          <t>CCS MV switchgear building (VFDs)</t>
        </is>
      </c>
      <c r="G3735" s="12" t="inlineStr">
        <is>
          <t>DCC-A</t>
        </is>
      </c>
      <c r="H3735" s="12" t="inlineStr">
        <is>
          <t>DCC-A: direct-contact cooler (quench)</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3</v>
      </c>
      <c r="R3735" s="12" t="n">
        <v>5</v>
      </c>
      <c r="S3735" s="12" t="inlineStr">
        <is>
          <t>Duct bank</t>
        </is>
      </c>
      <c r="T3735" s="15" t="n">
        <v>760</v>
      </c>
      <c r="U3735" s="15" t="n">
        <v>60</v>
      </c>
      <c r="V3735" s="15">
        <f>ROUNDUP((T3735+U3735+2*'Read Me'!$B$13)*(1+'Read Me'!$B$12),-1)</f>
        <v/>
      </c>
      <c r="W3735" s="15">
        <f>V3735*N3735*O3735</f>
        <v/>
      </c>
      <c r="X3735" s="12">
        <f>IF(LEFT(I3735,2)="MV",2*N3735*IF(L3735="1/C",O3735,1),0)</f>
        <v/>
      </c>
      <c r="Y3735" s="12">
        <f>IF(OR(LEFT(K3735,4)="LVAX",LEFT(K3735,6)="MV15AX",LEFT(K3735,4)="CTAX",LEFT(K3735,2)="W|"),2*N3735*O3735,0)</f>
        <v/>
      </c>
      <c r="Z3735" s="12" t="inlineStr">
        <is>
          <t>fixture-to-fixture run included</t>
        </is>
      </c>
      <c r="AA3735" s="12">
        <f>N3735*O3735</f>
        <v/>
      </c>
    </row>
    <row r="3736">
      <c r="A3736" s="12" t="inlineStr">
        <is>
          <t>G-P-0178</t>
        </is>
      </c>
      <c r="B3736" s="12" t="inlineStr">
        <is>
          <t>G</t>
        </is>
      </c>
      <c r="C3736" s="12" t="inlineStr">
        <is>
          <t>Carbon capture</t>
        </is>
      </c>
      <c r="D3736" s="12" t="inlineStr">
        <is>
          <t>Motor 1 of 2, 200 kW</t>
        </is>
      </c>
      <c r="E3736" s="12" t="inlineStr"/>
      <c r="F3736" s="12" t="inlineStr">
        <is>
          <t>CCS MV switchgear building (VFDs)</t>
        </is>
      </c>
      <c r="G3736" s="12" t="inlineStr"/>
      <c r="H3736" s="12" t="inlineStr">
        <is>
          <t>DCC-B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415</v>
      </c>
      <c r="U3736" s="15" t="n">
        <v>122</v>
      </c>
      <c r="V3736" s="15">
        <f>ROUNDUP((T3736+U3736+2*'Read Me'!$B$13)*(1+'Read Me'!$B$12),-1)</f>
        <v/>
      </c>
      <c r="W3736" s="15">
        <f>V3736*N3736*O3736</f>
        <v/>
      </c>
      <c r="X3736" s="12">
        <f>IF(LEFT(I3736,2)="MV",2*N3736*IF(L3736="1/C",O3736,1),0)</f>
        <v/>
      </c>
      <c r="Y3736" s="12">
        <f>IF(OR(LEFT(K3736,4)="LVAX",LEFT(K3736,6)="MV15AX",LEFT(K3736,4)="CTAX",LEFT(K3736,2)="W|"),2*N3736*O3736,0)</f>
        <v/>
      </c>
      <c r="Z3736" s="12" t="inlineStr">
        <is>
          <t>VD 1.6 %</t>
        </is>
      </c>
      <c r="AA3736" s="12">
        <f>N3736*O3736</f>
        <v/>
      </c>
    </row>
    <row r="3737">
      <c r="A3737" s="12" t="inlineStr">
        <is>
          <t>G-P-0179</t>
        </is>
      </c>
      <c r="B3737" s="12" t="inlineStr">
        <is>
          <t>G</t>
        </is>
      </c>
      <c r="C3737" s="12" t="inlineStr">
        <is>
          <t>Carbon capture</t>
        </is>
      </c>
      <c r="D3737" s="12" t="inlineStr">
        <is>
          <t>Motor 2 of 2, 200 kW</t>
        </is>
      </c>
      <c r="E3737" s="12" t="inlineStr"/>
      <c r="F3737" s="12" t="inlineStr">
        <is>
          <t>CCS MV switchgear building (VFDs)</t>
        </is>
      </c>
      <c r="G3737" s="12" t="inlineStr"/>
      <c r="H3737" s="12" t="inlineStr">
        <is>
          <t>DCC-B pumps + water filter</t>
        </is>
      </c>
      <c r="I3737" s="12" t="inlineStr">
        <is>
          <t>LV 600 V</t>
        </is>
      </c>
      <c r="J3737" s="12" t="inlineStr">
        <is>
          <t>Type TC-ER 600 V 3/C Cu XHHW-2 + ground, PVC jacket</t>
        </is>
      </c>
      <c r="K3737" s="12" t="inlineStr">
        <is>
          <t>LV|3/C+G|500</t>
        </is>
      </c>
      <c r="L3737" s="12" t="inlineStr">
        <is>
          <t>3/C+G</t>
        </is>
      </c>
      <c r="M3737" s="12" t="inlineStr">
        <is>
          <t>500 kcmil</t>
        </is>
      </c>
      <c r="N3737" s="12" t="n">
        <v>1</v>
      </c>
      <c r="O3737" s="12" t="n">
        <v>1</v>
      </c>
      <c r="P3737" s="12" t="n">
        <v>480</v>
      </c>
      <c r="Q3737" s="12" t="n">
        <v>200</v>
      </c>
      <c r="R3737" s="12" t="n">
        <v>283</v>
      </c>
      <c r="S3737" s="12" t="inlineStr">
        <is>
          <t>Tray</t>
        </is>
      </c>
      <c r="T3737" s="15" t="n">
        <v>415</v>
      </c>
      <c r="U3737" s="15" t="n">
        <v>122</v>
      </c>
      <c r="V3737" s="15">
        <f>ROUNDUP((T3737+U3737+2*'Read Me'!$B$13)*(1+'Read Me'!$B$12),-1)</f>
        <v/>
      </c>
      <c r="W3737" s="15">
        <f>V3737*N3737*O3737</f>
        <v/>
      </c>
      <c r="X3737" s="12">
        <f>IF(LEFT(I3737,2)="MV",2*N3737*IF(L3737="1/C",O3737,1),0)</f>
        <v/>
      </c>
      <c r="Y3737" s="12">
        <f>IF(OR(LEFT(K3737,4)="LVAX",LEFT(K3737,6)="MV15AX",LEFT(K3737,4)="CTAX",LEFT(K3737,2)="W|"),2*N3737*O3737,0)</f>
        <v/>
      </c>
      <c r="Z3737" s="12" t="inlineStr">
        <is>
          <t>VD 1.6 %</t>
        </is>
      </c>
      <c r="AA3737" s="12">
        <f>N3737*O3737</f>
        <v/>
      </c>
    </row>
    <row r="3738">
      <c r="A3738" s="12" t="inlineStr">
        <is>
          <t>G-P-0180</t>
        </is>
      </c>
      <c r="B3738" s="12" t="inlineStr">
        <is>
          <t>G</t>
        </is>
      </c>
      <c r="C3738" s="12" t="inlineStr">
        <is>
          <t>Carbon capture</t>
        </is>
      </c>
      <c r="D3738" s="12" t="inlineStr">
        <is>
          <t>LV power feeder</t>
        </is>
      </c>
      <c r="E3738" s="12" t="inlineStr"/>
      <c r="F3738" s="12" t="inlineStr">
        <is>
          <t>CCS MV switchgear building (VFDs)</t>
        </is>
      </c>
      <c r="G3738" s="12" t="inlineStr">
        <is>
          <t>DCC-B</t>
        </is>
      </c>
      <c r="H3738" s="12" t="inlineStr">
        <is>
          <t>DCC-B: direct-contact cooler (quench)</t>
        </is>
      </c>
      <c r="I3738" s="12" t="inlineStr">
        <is>
          <t>LV 600 V</t>
        </is>
      </c>
      <c r="J3738" s="12" t="inlineStr">
        <is>
          <t>Type TC-ER 600 V 3/C Cu XHHW-2 + ground, PVC jacket</t>
        </is>
      </c>
      <c r="K3738" s="12" t="inlineStr">
        <is>
          <t>LV|3/C+G|8</t>
        </is>
      </c>
      <c r="L3738" s="12" t="inlineStr">
        <is>
          <t>3/C+G</t>
        </is>
      </c>
      <c r="M3738" s="12" t="inlineStr">
        <is>
          <t>8</t>
        </is>
      </c>
      <c r="N3738" s="12" t="n">
        <v>1</v>
      </c>
      <c r="O3738" s="12" t="n">
        <v>1</v>
      </c>
      <c r="P3738" s="12" t="n">
        <v>480</v>
      </c>
      <c r="Q3738" s="12" t="n">
        <v>15</v>
      </c>
      <c r="R3738" s="12" t="n">
        <v>21.2</v>
      </c>
      <c r="S3738" s="12" t="inlineStr">
        <is>
          <t>Duct bank</t>
        </is>
      </c>
      <c r="T3738" s="15" t="n">
        <v>300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VD 2.3 %</t>
        </is>
      </c>
      <c r="AA3738" s="12">
        <f>N3738*O3738</f>
        <v/>
      </c>
    </row>
    <row r="3739">
      <c r="A3739" s="12" t="inlineStr">
        <is>
          <t>G-P-0181</t>
        </is>
      </c>
      <c r="B3739" s="12" t="inlineStr">
        <is>
          <t>G</t>
        </is>
      </c>
      <c r="C3739" s="12" t="inlineStr">
        <is>
          <t>Carbon capture</t>
        </is>
      </c>
      <c r="D3739" s="12" t="inlineStr">
        <is>
          <t>Area / platform lighting circuit 1 (8 fixtures)</t>
        </is>
      </c>
      <c r="E3739" s="12" t="inlineStr"/>
      <c r="F3739" s="12" t="inlineStr">
        <is>
          <t>CCS MV switchgear building (VFDs)</t>
        </is>
      </c>
      <c r="G3739" s="12" t="inlineStr">
        <is>
          <t>DCC-B</t>
        </is>
      </c>
      <c r="H3739" s="12" t="inlineStr">
        <is>
          <t>DCC-B: direct-contact cooler (quench)</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3</v>
      </c>
      <c r="R3739" s="12" t="n">
        <v>5</v>
      </c>
      <c r="S3739" s="12" t="inlineStr">
        <is>
          <t>Duct bank</t>
        </is>
      </c>
      <c r="T3739" s="15" t="n">
        <v>600</v>
      </c>
      <c r="U3739" s="15" t="n">
        <v>60</v>
      </c>
      <c r="V3739" s="15">
        <f>ROUNDUP((T3739+U3739+2*'Read Me'!$B$13)*(1+'Read Me'!$B$12),-1)</f>
        <v/>
      </c>
      <c r="W3739" s="15">
        <f>V3739*N3739*O3739</f>
        <v/>
      </c>
      <c r="X3739" s="12">
        <f>IF(LEFT(I3739,2)="MV",2*N3739*IF(L3739="1/C",O3739,1),0)</f>
        <v/>
      </c>
      <c r="Y3739" s="12">
        <f>IF(OR(LEFT(K3739,4)="LVAX",LEFT(K3739,6)="MV15AX",LEFT(K3739,4)="CTAX",LEFT(K3739,2)="W|"),2*N3739*O3739,0)</f>
        <v/>
      </c>
      <c r="Z3739" s="12" t="inlineStr">
        <is>
          <t>fixture-to-fixture run included</t>
        </is>
      </c>
      <c r="AA3739" s="12">
        <f>N3739*O3739</f>
        <v/>
      </c>
    </row>
    <row r="3740">
      <c r="A3740" s="12" t="inlineStr">
        <is>
          <t>G-P-0182</t>
        </is>
      </c>
      <c r="B3740" s="12" t="inlineStr">
        <is>
          <t>G</t>
        </is>
      </c>
      <c r="C3740" s="12" t="inlineStr">
        <is>
          <t>Carbon capture</t>
        </is>
      </c>
      <c r="D3740" s="12" t="inlineStr">
        <is>
          <t>Motor 1 of 2, 200 kW</t>
        </is>
      </c>
      <c r="E3740" s="12" t="inlineStr"/>
      <c r="F3740" s="12" t="inlineStr">
        <is>
          <t>CCS MV switchgear building (VFDs)</t>
        </is>
      </c>
      <c r="G3740" s="12" t="inlineStr"/>
      <c r="H3740" s="12" t="inlineStr">
        <is>
          <t>DCC-C pumps + water filter</t>
        </is>
      </c>
      <c r="I3740" s="12" t="inlineStr">
        <is>
          <t>LV 600 V</t>
        </is>
      </c>
      <c r="J3740" s="12" t="inlineStr">
        <is>
          <t>Type TC-ER 600 V 3/C Cu XHHW-2 + ground, PVC jacket</t>
        </is>
      </c>
      <c r="K3740" s="12" t="inlineStr">
        <is>
          <t>LV|3/C+G|500</t>
        </is>
      </c>
      <c r="L3740" s="12" t="inlineStr">
        <is>
          <t>3/C+G</t>
        </is>
      </c>
      <c r="M3740" s="12" t="inlineStr">
        <is>
          <t>500 kcmil</t>
        </is>
      </c>
      <c r="N3740" s="12" t="n">
        <v>1</v>
      </c>
      <c r="O3740" s="12" t="n">
        <v>1</v>
      </c>
      <c r="P3740" s="12" t="n">
        <v>480</v>
      </c>
      <c r="Q3740" s="12" t="n">
        <v>200</v>
      </c>
      <c r="R3740" s="12" t="n">
        <v>283</v>
      </c>
      <c r="S3740" s="12" t="inlineStr">
        <is>
          <t>Tray</t>
        </is>
      </c>
      <c r="T3740" s="15" t="n">
        <v>195</v>
      </c>
      <c r="U3740" s="15" t="n">
        <v>164</v>
      </c>
      <c r="V3740" s="15">
        <f>ROUNDUP((T3740+U3740+2*'Read Me'!$B$13)*(1+'Read Me'!$B$12),-1)</f>
        <v/>
      </c>
      <c r="W3740" s="15">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G-P-0183</t>
        </is>
      </c>
      <c r="B3741" s="12" t="inlineStr">
        <is>
          <t>G</t>
        </is>
      </c>
      <c r="C3741" s="12" t="inlineStr">
        <is>
          <t>Carbon capture</t>
        </is>
      </c>
      <c r="D3741" s="12" t="inlineStr">
        <is>
          <t>Motor 2 of 2, 200 kW</t>
        </is>
      </c>
      <c r="E3741" s="12" t="inlineStr"/>
      <c r="F3741" s="12" t="inlineStr">
        <is>
          <t>CCS MV switchgear building (VFDs)</t>
        </is>
      </c>
      <c r="G3741" s="12" t="inlineStr"/>
      <c r="H3741" s="12" t="inlineStr">
        <is>
          <t>DCC-C pumps + water filter</t>
        </is>
      </c>
      <c r="I3741" s="12" t="inlineStr">
        <is>
          <t>LV 600 V</t>
        </is>
      </c>
      <c r="J3741" s="12" t="inlineStr">
        <is>
          <t>Type TC-ER 600 V 3/C Cu XHHW-2 + ground, PVC jacket</t>
        </is>
      </c>
      <c r="K3741" s="12" t="inlineStr">
        <is>
          <t>LV|3/C+G|500</t>
        </is>
      </c>
      <c r="L3741" s="12" t="inlineStr">
        <is>
          <t>3/C+G</t>
        </is>
      </c>
      <c r="M3741" s="12" t="inlineStr">
        <is>
          <t>500 kcmil</t>
        </is>
      </c>
      <c r="N3741" s="12" t="n">
        <v>1</v>
      </c>
      <c r="O3741" s="12" t="n">
        <v>1</v>
      </c>
      <c r="P3741" s="12" t="n">
        <v>480</v>
      </c>
      <c r="Q3741" s="12" t="n">
        <v>200</v>
      </c>
      <c r="R3741" s="12" t="n">
        <v>283</v>
      </c>
      <c r="S3741" s="12" t="inlineStr">
        <is>
          <t>Tray</t>
        </is>
      </c>
      <c r="T3741" s="15" t="n">
        <v>195</v>
      </c>
      <c r="U3741" s="15" t="n">
        <v>164</v>
      </c>
      <c r="V3741" s="15">
        <f>ROUNDUP((T3741+U3741+2*'Read Me'!$B$13)*(1+'Read Me'!$B$12),-1)</f>
        <v/>
      </c>
      <c r="W3741" s="15">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G-P-0184</t>
        </is>
      </c>
      <c r="B3742" s="12" t="inlineStr">
        <is>
          <t>G</t>
        </is>
      </c>
      <c r="C3742" s="12" t="inlineStr">
        <is>
          <t>Carbon capture</t>
        </is>
      </c>
      <c r="D3742" s="12" t="inlineStr">
        <is>
          <t>LV power feeder</t>
        </is>
      </c>
      <c r="E3742" s="12" t="inlineStr"/>
      <c r="F3742" s="12" t="inlineStr">
        <is>
          <t>CCS MV switchgear building (VFDs)</t>
        </is>
      </c>
      <c r="G3742" s="12" t="inlineStr">
        <is>
          <t>DCC-C</t>
        </is>
      </c>
      <c r="H3742" s="12" t="inlineStr">
        <is>
          <t>DCC-C: direct-contact cooler (quench)</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15</v>
      </c>
      <c r="R3742" s="12" t="n">
        <v>21.2</v>
      </c>
      <c r="S3742" s="12" t="inlineStr">
        <is>
          <t>Duct bank</t>
        </is>
      </c>
      <c r="T3742" s="15" t="n">
        <v>140</v>
      </c>
      <c r="U3742" s="15" t="n">
        <v>60</v>
      </c>
      <c r="V3742" s="15">
        <f>ROUNDUP((T3742+U3742+2*'Read Me'!$B$13)*(1+'Read Me'!$B$12),-1)</f>
        <v/>
      </c>
      <c r="W3742" s="15">
        <f>V3742*N3742*O3742</f>
        <v/>
      </c>
      <c r="X3742" s="12">
        <f>IF(LEFT(I3742,2)="MV",2*N3742*IF(L3742="1/C",O3742,1),0)</f>
        <v/>
      </c>
      <c r="Y3742" s="12">
        <f>IF(OR(LEFT(K3742,4)="LVAX",LEFT(K3742,6)="MV15AX",LEFT(K3742,4)="CTAX",LEFT(K3742,2)="W|"),2*N3742*O3742,0)</f>
        <v/>
      </c>
      <c r="Z3742" s="12" t="inlineStr">
        <is>
          <t>VD 2.0 %</t>
        </is>
      </c>
      <c r="AA3742" s="12">
        <f>N3742*O3742</f>
        <v/>
      </c>
    </row>
    <row r="3743">
      <c r="A3743" s="12" t="inlineStr">
        <is>
          <t>G-P-0185</t>
        </is>
      </c>
      <c r="B3743" s="12" t="inlineStr">
        <is>
          <t>G</t>
        </is>
      </c>
      <c r="C3743" s="12" t="inlineStr">
        <is>
          <t>Carbon capture</t>
        </is>
      </c>
      <c r="D3743" s="12" t="inlineStr">
        <is>
          <t>Area / platform lighting circuit 1 (8 fixtures)</t>
        </is>
      </c>
      <c r="E3743" s="12" t="inlineStr"/>
      <c r="F3743" s="12" t="inlineStr">
        <is>
          <t>CCS MV switchgear building (VFDs)</t>
        </is>
      </c>
      <c r="G3743" s="12" t="inlineStr">
        <is>
          <t>DCC-C</t>
        </is>
      </c>
      <c r="H3743" s="12" t="inlineStr">
        <is>
          <t>DCC-C: direct-contact cooler (quench)</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3</v>
      </c>
      <c r="R3743" s="12" t="n">
        <v>5</v>
      </c>
      <c r="S3743" s="12" t="inlineStr">
        <is>
          <t>Duct bank</t>
        </is>
      </c>
      <c r="T3743" s="15" t="n">
        <v>440</v>
      </c>
      <c r="U3743" s="15" t="n">
        <v>60</v>
      </c>
      <c r="V3743" s="15">
        <f>ROUNDUP((T3743+U3743+2*'Read Me'!$B$13)*(1+'Read Me'!$B$12),-1)</f>
        <v/>
      </c>
      <c r="W3743" s="15">
        <f>V3743*N3743*O3743</f>
        <v/>
      </c>
      <c r="X3743" s="12">
        <f>IF(LEFT(I3743,2)="MV",2*N3743*IF(L3743="1/C",O3743,1),0)</f>
        <v/>
      </c>
      <c r="Y3743" s="12">
        <f>IF(OR(LEFT(K3743,4)="LVAX",LEFT(K3743,6)="MV15AX",LEFT(K3743,4)="CTAX",LEFT(K3743,2)="W|"),2*N3743*O3743,0)</f>
        <v/>
      </c>
      <c r="Z3743" s="12" t="inlineStr">
        <is>
          <t>fixture-to-fixture run included</t>
        </is>
      </c>
      <c r="AA3743" s="12">
        <f>N3743*O3743</f>
        <v/>
      </c>
    </row>
    <row r="3744">
      <c r="A3744" s="12" t="inlineStr">
        <is>
          <t>G-P-0186</t>
        </is>
      </c>
      <c r="B3744" s="12" t="inlineStr">
        <is>
          <t>G</t>
        </is>
      </c>
      <c r="C3744" s="12" t="inlineStr">
        <is>
          <t>Carbon capture</t>
        </is>
      </c>
      <c r="D3744" s="12" t="inlineStr">
        <is>
          <t>Motor 1 of 2, 15 kW</t>
        </is>
      </c>
      <c r="E3744" s="12" t="inlineStr"/>
      <c r="F3744" s="12" t="inlineStr">
        <is>
          <t>CCS MV switchgear building (VFDs)</t>
        </is>
      </c>
      <c r="G3744" s="12" t="inlineStr">
        <is>
          <t>DMP-A</t>
        </is>
      </c>
      <c r="H3744" s="12" t="inlineStr">
        <is>
          <t>DMP-A: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1436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2.5 %</t>
        </is>
      </c>
      <c r="AA3744" s="12">
        <f>N3744*O3744</f>
        <v/>
      </c>
    </row>
    <row r="3745">
      <c r="A3745" s="12" t="inlineStr">
        <is>
          <t>G-P-0187</t>
        </is>
      </c>
      <c r="B3745" s="12" t="inlineStr">
        <is>
          <t>G</t>
        </is>
      </c>
      <c r="C3745" s="12" t="inlineStr">
        <is>
          <t>Carbon capture</t>
        </is>
      </c>
      <c r="D3745" s="12" t="inlineStr">
        <is>
          <t>Motor 2 of 2, 15 kW</t>
        </is>
      </c>
      <c r="E3745" s="12" t="inlineStr"/>
      <c r="F3745" s="12" t="inlineStr">
        <is>
          <t>CCS MV switchgear building (VFDs)</t>
        </is>
      </c>
      <c r="G3745" s="12" t="inlineStr">
        <is>
          <t>DMP-A</t>
        </is>
      </c>
      <c r="H3745" s="12" t="inlineStr">
        <is>
          <t>DMP-A: diverter / bypass damper</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15</v>
      </c>
      <c r="R3745" s="12" t="n">
        <v>21.2</v>
      </c>
      <c r="S3745" s="12" t="inlineStr">
        <is>
          <t>Duct bank</t>
        </is>
      </c>
      <c r="T3745" s="15" t="n">
        <v>1436</v>
      </c>
      <c r="U3745" s="15" t="n">
        <v>124</v>
      </c>
      <c r="V3745" s="15">
        <f>ROUNDUP((T3745+U3745+2*'Read Me'!$B$13)*(1+'Read Me'!$B$12),-1)</f>
        <v/>
      </c>
      <c r="W3745" s="15">
        <f>V3745*N3745*O3745</f>
        <v/>
      </c>
      <c r="X3745" s="12">
        <f>IF(LEFT(I3745,2)="MV",2*N3745*IF(L3745="1/C",O3745,1),0)</f>
        <v/>
      </c>
      <c r="Y3745" s="12">
        <f>IF(OR(LEFT(K3745,4)="LVAX",LEFT(K3745,6)="MV15AX",LEFT(K3745,4)="CTAX",LEFT(K3745,2)="W|"),2*N3745*O3745,0)</f>
        <v/>
      </c>
      <c r="Z3745" s="12" t="inlineStr">
        <is>
          <t>VD 2.5 %</t>
        </is>
      </c>
      <c r="AA3745" s="12">
        <f>N3745*O3745</f>
        <v/>
      </c>
    </row>
    <row r="3746">
      <c r="A3746" s="12" t="inlineStr">
        <is>
          <t>G-P-0188</t>
        </is>
      </c>
      <c r="B3746" s="12" t="inlineStr">
        <is>
          <t>G</t>
        </is>
      </c>
      <c r="C3746" s="12" t="inlineStr">
        <is>
          <t>Carbon capture</t>
        </is>
      </c>
      <c r="D3746" s="12" t="inlineStr">
        <is>
          <t>Motor 1 of 2, 15 kW</t>
        </is>
      </c>
      <c r="E3746" s="12" t="inlineStr"/>
      <c r="F3746" s="12" t="inlineStr">
        <is>
          <t>CCS MV switchgear building (VFDs)</t>
        </is>
      </c>
      <c r="G3746" s="12" t="inlineStr">
        <is>
          <t>DMP-B</t>
        </is>
      </c>
      <c r="H3746" s="12" t="inlineStr">
        <is>
          <t>DMP-B: diverter / bypass damper</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15</v>
      </c>
      <c r="R3746" s="12" t="n">
        <v>21.2</v>
      </c>
      <c r="S3746" s="12" t="inlineStr">
        <is>
          <t>Duct bank</t>
        </is>
      </c>
      <c r="T3746" s="15" t="n">
        <v>1280</v>
      </c>
      <c r="U3746" s="15" t="n">
        <v>120</v>
      </c>
      <c r="V3746" s="15">
        <f>ROUNDUP((T3746+U3746+2*'Read Me'!$B$13)*(1+'Read Me'!$B$12),-1)</f>
        <v/>
      </c>
      <c r="W3746" s="15">
        <f>V3746*N3746*O3746</f>
        <v/>
      </c>
      <c r="X3746" s="12">
        <f>IF(LEFT(I3746,2)="MV",2*N3746*IF(L3746="1/C",O3746,1),0)</f>
        <v/>
      </c>
      <c r="Y3746" s="12">
        <f>IF(OR(LEFT(K3746,4)="LVAX",LEFT(K3746,6)="MV15AX",LEFT(K3746,4)="CTAX",LEFT(K3746,2)="W|"),2*N3746*O3746,0)</f>
        <v/>
      </c>
      <c r="Z3746" s="12" t="inlineStr">
        <is>
          <t>VD 2.3 %</t>
        </is>
      </c>
      <c r="AA3746" s="12">
        <f>N3746*O3746</f>
        <v/>
      </c>
    </row>
    <row r="3747">
      <c r="A3747" s="12" t="inlineStr">
        <is>
          <t>G-P-0189</t>
        </is>
      </c>
      <c r="B3747" s="12" t="inlineStr">
        <is>
          <t>G</t>
        </is>
      </c>
      <c r="C3747" s="12" t="inlineStr">
        <is>
          <t>Carbon capture</t>
        </is>
      </c>
      <c r="D3747" s="12" t="inlineStr">
        <is>
          <t>Motor 2 of 2, 15 kW</t>
        </is>
      </c>
      <c r="E3747" s="12" t="inlineStr"/>
      <c r="F3747" s="12" t="inlineStr">
        <is>
          <t>CCS MV switchgear building (VFDs)</t>
        </is>
      </c>
      <c r="G3747" s="12" t="inlineStr">
        <is>
          <t>DMP-B</t>
        </is>
      </c>
      <c r="H3747" s="12" t="inlineStr">
        <is>
          <t>DMP-B: diverter / bypass damper</t>
        </is>
      </c>
      <c r="I3747" s="12" t="inlineStr">
        <is>
          <t>LV 600 V</t>
        </is>
      </c>
      <c r="J3747" s="12" t="inlineStr">
        <is>
          <t>Type TC-ER 600 V 3/C Cu XHHW-2 + ground, PVC jacket</t>
        </is>
      </c>
      <c r="K3747" s="12" t="inlineStr">
        <is>
          <t>LV|3/C+G|2</t>
        </is>
      </c>
      <c r="L3747" s="12" t="inlineStr">
        <is>
          <t>3/C+G</t>
        </is>
      </c>
      <c r="M3747" s="12" t="inlineStr">
        <is>
          <t>2</t>
        </is>
      </c>
      <c r="N3747" s="12" t="n">
        <v>1</v>
      </c>
      <c r="O3747" s="12" t="n">
        <v>1</v>
      </c>
      <c r="P3747" s="12" t="n">
        <v>480</v>
      </c>
      <c r="Q3747" s="12" t="n">
        <v>15</v>
      </c>
      <c r="R3747" s="12" t="n">
        <v>21.2</v>
      </c>
      <c r="S3747" s="12" t="inlineStr">
        <is>
          <t>Duct bank</t>
        </is>
      </c>
      <c r="T3747" s="15" t="n">
        <v>1280</v>
      </c>
      <c r="U3747" s="15" t="n">
        <v>120</v>
      </c>
      <c r="V3747" s="15">
        <f>ROUNDUP((T3747+U3747+2*'Read Me'!$B$13)*(1+'Read Me'!$B$12),-1)</f>
        <v/>
      </c>
      <c r="W3747" s="15">
        <f>V3747*N3747*O3747</f>
        <v/>
      </c>
      <c r="X3747" s="12">
        <f>IF(LEFT(I3747,2)="MV",2*N3747*IF(L3747="1/C",O3747,1),0)</f>
        <v/>
      </c>
      <c r="Y3747" s="12">
        <f>IF(OR(LEFT(K3747,4)="LVAX",LEFT(K3747,6)="MV15AX",LEFT(K3747,4)="CTAX",LEFT(K3747,2)="W|"),2*N3747*O3747,0)</f>
        <v/>
      </c>
      <c r="Z3747" s="12" t="inlineStr">
        <is>
          <t>VD 2.3 %</t>
        </is>
      </c>
      <c r="AA3747" s="12">
        <f>N3747*O3747</f>
        <v/>
      </c>
    </row>
    <row r="3748">
      <c r="A3748" s="12" t="inlineStr">
        <is>
          <t>G-P-0190</t>
        </is>
      </c>
      <c r="B3748" s="12" t="inlineStr">
        <is>
          <t>G</t>
        </is>
      </c>
      <c r="C3748" s="12" t="inlineStr">
        <is>
          <t>Carbon capture</t>
        </is>
      </c>
      <c r="D3748" s="12" t="inlineStr">
        <is>
          <t>Motor 1 of 2, 15 kW</t>
        </is>
      </c>
      <c r="E3748" s="12" t="inlineStr"/>
      <c r="F3748" s="12" t="inlineStr">
        <is>
          <t>CCS MV switchgear building (VFDs)</t>
        </is>
      </c>
      <c r="G3748" s="12" t="inlineStr">
        <is>
          <t>DMP-C</t>
        </is>
      </c>
      <c r="H3748" s="12" t="inlineStr">
        <is>
          <t>DMP-C: diverter / bypass damper</t>
        </is>
      </c>
      <c r="I3748" s="12" t="inlineStr">
        <is>
          <t>LV 600 V</t>
        </is>
      </c>
      <c r="J3748" s="12" t="inlineStr">
        <is>
          <t>Type TC-ER 600 V 3/C Cu XHHW-2 + ground, PVC jacket</t>
        </is>
      </c>
      <c r="K3748" s="12" t="inlineStr">
        <is>
          <t>LV|3/C+G|2</t>
        </is>
      </c>
      <c r="L3748" s="12" t="inlineStr">
        <is>
          <t>3/C+G</t>
        </is>
      </c>
      <c r="M3748" s="12" t="inlineStr">
        <is>
          <t>2</t>
        </is>
      </c>
      <c r="N3748" s="12" t="n">
        <v>1</v>
      </c>
      <c r="O3748" s="12" t="n">
        <v>1</v>
      </c>
      <c r="P3748" s="12" t="n">
        <v>480</v>
      </c>
      <c r="Q3748" s="12" t="n">
        <v>15</v>
      </c>
      <c r="R3748" s="12" t="n">
        <v>21.2</v>
      </c>
      <c r="S3748" s="12" t="inlineStr">
        <is>
          <t>Duct bank</t>
        </is>
      </c>
      <c r="T3748" s="15" t="n">
        <v>1116</v>
      </c>
      <c r="U3748" s="15" t="n">
        <v>124</v>
      </c>
      <c r="V3748" s="15">
        <f>ROUNDUP((T3748+U3748+2*'Read Me'!$B$13)*(1+'Read Me'!$B$12),-1)</f>
        <v/>
      </c>
      <c r="W3748" s="15">
        <f>V3748*N3748*O3748</f>
        <v/>
      </c>
      <c r="X3748" s="12">
        <f>IF(LEFT(I3748,2)="MV",2*N3748*IF(L3748="1/C",O3748,1),0)</f>
        <v/>
      </c>
      <c r="Y3748" s="12">
        <f>IF(OR(LEFT(K3748,4)="LVAX",LEFT(K3748,6)="MV15AX",LEFT(K3748,4)="CTAX",LEFT(K3748,2)="W|"),2*N3748*O3748,0)</f>
        <v/>
      </c>
      <c r="Z3748" s="12" t="inlineStr">
        <is>
          <t>VD 2.0 %</t>
        </is>
      </c>
      <c r="AA3748" s="12">
        <f>N3748*O3748</f>
        <v/>
      </c>
    </row>
    <row r="3749">
      <c r="A3749" s="12" t="inlineStr">
        <is>
          <t>G-P-0191</t>
        </is>
      </c>
      <c r="B3749" s="12" t="inlineStr">
        <is>
          <t>G</t>
        </is>
      </c>
      <c r="C3749" s="12" t="inlineStr">
        <is>
          <t>Carbon capture</t>
        </is>
      </c>
      <c r="D3749" s="12" t="inlineStr">
        <is>
          <t>Motor 2 of 2, 15 kW</t>
        </is>
      </c>
      <c r="E3749" s="12" t="inlineStr"/>
      <c r="F3749" s="12" t="inlineStr">
        <is>
          <t>CCS MV switchgear building (VFDs)</t>
        </is>
      </c>
      <c r="G3749" s="12" t="inlineStr">
        <is>
          <t>DMP-C</t>
        </is>
      </c>
      <c r="H3749" s="12" t="inlineStr">
        <is>
          <t>DMP-C: diverter / bypass damper</t>
        </is>
      </c>
      <c r="I3749" s="12" t="inlineStr">
        <is>
          <t>LV 600 V</t>
        </is>
      </c>
      <c r="J3749" s="12" t="inlineStr">
        <is>
          <t>Type TC-ER 600 V 3/C Cu XHHW-2 + ground, PVC jacket</t>
        </is>
      </c>
      <c r="K3749" s="12" t="inlineStr">
        <is>
          <t>LV|3/C+G|2</t>
        </is>
      </c>
      <c r="L3749" s="12" t="inlineStr">
        <is>
          <t>3/C+G</t>
        </is>
      </c>
      <c r="M3749" s="12" t="inlineStr">
        <is>
          <t>2</t>
        </is>
      </c>
      <c r="N3749" s="12" t="n">
        <v>1</v>
      </c>
      <c r="O3749" s="12" t="n">
        <v>1</v>
      </c>
      <c r="P3749" s="12" t="n">
        <v>480</v>
      </c>
      <c r="Q3749" s="12" t="n">
        <v>15</v>
      </c>
      <c r="R3749" s="12" t="n">
        <v>21.2</v>
      </c>
      <c r="S3749" s="12" t="inlineStr">
        <is>
          <t>Duct bank</t>
        </is>
      </c>
      <c r="T3749" s="15" t="n">
        <v>1116</v>
      </c>
      <c r="U3749" s="15" t="n">
        <v>124</v>
      </c>
      <c r="V3749" s="15">
        <f>ROUNDUP((T3749+U3749+2*'Read Me'!$B$13)*(1+'Read Me'!$B$12),-1)</f>
        <v/>
      </c>
      <c r="W3749" s="15">
        <f>V3749*N3749*O3749</f>
        <v/>
      </c>
      <c r="X3749" s="12">
        <f>IF(LEFT(I3749,2)="MV",2*N3749*IF(L3749="1/C",O3749,1),0)</f>
        <v/>
      </c>
      <c r="Y3749" s="12">
        <f>IF(OR(LEFT(K3749,4)="LVAX",LEFT(K3749,6)="MV15AX",LEFT(K3749,4)="CTAX",LEFT(K3749,2)="W|"),2*N3749*O3749,0)</f>
        <v/>
      </c>
      <c r="Z3749" s="12" t="inlineStr">
        <is>
          <t>VD 2.0 %</t>
        </is>
      </c>
      <c r="AA3749" s="12">
        <f>N3749*O3749</f>
        <v/>
      </c>
    </row>
    <row r="3750">
      <c r="A3750" s="12" t="inlineStr">
        <is>
          <t>G-P-0192</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RB-A: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50</v>
      </c>
      <c r="U3750" s="15" t="n">
        <v>37</v>
      </c>
      <c r="V3750" s="15">
        <f>ROUNDUP((T3750+U3750+2*'Read Me'!$B$13)*(1+'Read Me'!$B$12),-1)</f>
        <v/>
      </c>
      <c r="W3750" s="15">
        <f>V3750*N3750*O3750</f>
        <v/>
      </c>
      <c r="X3750" s="12">
        <f>IF(LEFT(I3750,2)="MV",2*N3750*IF(L3750="1/C",O3750,1),0)</f>
        <v/>
      </c>
      <c r="Y3750" s="12">
        <f>IF(OR(LEFT(K3750,4)="LVAX",LEFT(K3750,6)="MV15AX",LEFT(K3750,4)="CTAX",LEFT(K3750,2)="W|"),2*N3750*O3750,0)</f>
        <v/>
      </c>
      <c r="Z3750" s="12" t="inlineStr">
        <is>
          <t>VD 0.1 %</t>
        </is>
      </c>
      <c r="AA3750" s="12">
        <f>N3750*O3750</f>
        <v/>
      </c>
    </row>
    <row r="3751">
      <c r="A3751" s="12" t="inlineStr">
        <is>
          <t>G-P-0193</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RB-A: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50</v>
      </c>
      <c r="U3751" s="15" t="n">
        <v>37</v>
      </c>
      <c r="V3751" s="15">
        <f>ROUNDUP((T3751+U3751+2*'Read Me'!$B$13)*(1+'Read Me'!$B$12),-1)</f>
        <v/>
      </c>
      <c r="W3751" s="15">
        <f>V3751*N3751*O3751</f>
        <v/>
      </c>
      <c r="X3751" s="12">
        <f>IF(LEFT(I3751,2)="MV",2*N3751*IF(L3751="1/C",O3751,1),0)</f>
        <v/>
      </c>
      <c r="Y3751" s="12">
        <f>IF(OR(LEFT(K3751,4)="LVAX",LEFT(K3751,6)="MV15AX",LEFT(K3751,4)="CTAX",LEFT(K3751,2)="W|"),2*N3751*O3751,0)</f>
        <v/>
      </c>
      <c r="Z3751" s="12" t="inlineStr">
        <is>
          <t>VD 0.1 %</t>
        </is>
      </c>
      <c r="AA3751" s="12">
        <f>N3751*O3751</f>
        <v/>
      </c>
    </row>
    <row r="3752">
      <c r="A3752" s="12" t="inlineStr">
        <is>
          <t>G-P-0194</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RB-A: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50</v>
      </c>
      <c r="U3752" s="15" t="n">
        <v>37</v>
      </c>
      <c r="V3752" s="15">
        <f>ROUNDUP((T3752+U3752+2*'Read Me'!$B$13)*(1+'Read Me'!$B$12),-1)</f>
        <v/>
      </c>
      <c r="W3752" s="15">
        <f>V3752*N3752*O3752</f>
        <v/>
      </c>
      <c r="X3752" s="12">
        <f>IF(LEFT(I3752,2)="MV",2*N3752*IF(L3752="1/C",O3752,1),0)</f>
        <v/>
      </c>
      <c r="Y3752" s="12">
        <f>IF(OR(LEFT(K3752,4)="LVAX",LEFT(K3752,6)="MV15AX",LEFT(K3752,4)="CTAX",LEFT(K3752,2)="W|"),2*N3752*O3752,0)</f>
        <v/>
      </c>
      <c r="Z3752" s="12" t="inlineStr">
        <is>
          <t>VD 0.1 %</t>
        </is>
      </c>
      <c r="AA3752" s="12">
        <f>N3752*O3752</f>
        <v/>
      </c>
    </row>
    <row r="3753">
      <c r="A3753" s="12" t="inlineStr">
        <is>
          <t>G-P-0195</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RB-A: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50</v>
      </c>
      <c r="U3753" s="15" t="n">
        <v>37</v>
      </c>
      <c r="V3753" s="15">
        <f>ROUNDUP((T3753+U3753+2*'Read Me'!$B$13)*(1+'Read Me'!$B$12),-1)</f>
        <v/>
      </c>
      <c r="W3753" s="15">
        <f>V3753*N3753*O3753</f>
        <v/>
      </c>
      <c r="X3753" s="12">
        <f>IF(LEFT(I3753,2)="MV",2*N3753*IF(L3753="1/C",O3753,1),0)</f>
        <v/>
      </c>
      <c r="Y3753" s="12">
        <f>IF(OR(LEFT(K3753,4)="LVAX",LEFT(K3753,6)="MV15AX",LEFT(K3753,4)="CTAX",LEFT(K3753,2)="W|"),2*N3753*O3753,0)</f>
        <v/>
      </c>
      <c r="Z3753" s="12" t="inlineStr">
        <is>
          <t>VD 0.1 %</t>
        </is>
      </c>
      <c r="AA3753" s="12">
        <f>N3753*O3753</f>
        <v/>
      </c>
    </row>
    <row r="3754">
      <c r="A3754" s="12" t="inlineStr">
        <is>
          <t>G-P-0196</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RB-A: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50</v>
      </c>
      <c r="U3754" s="15" t="n">
        <v>37</v>
      </c>
      <c r="V3754" s="15">
        <f>ROUNDUP((T3754+U3754+2*'Read Me'!$B$13)*(1+'Read Me'!$B$12),-1)</f>
        <v/>
      </c>
      <c r="W3754" s="15">
        <f>V3754*N3754*O3754</f>
        <v/>
      </c>
      <c r="X3754" s="12">
        <f>IF(LEFT(I3754,2)="MV",2*N3754*IF(L3754="1/C",O3754,1),0)</f>
        <v/>
      </c>
      <c r="Y3754" s="12">
        <f>IF(OR(LEFT(K3754,4)="LVAX",LEFT(K3754,6)="MV15AX",LEFT(K3754,4)="CTAX",LEFT(K3754,2)="W|"),2*N3754*O3754,0)</f>
        <v/>
      </c>
      <c r="Z3754" s="12" t="inlineStr">
        <is>
          <t>VD 0.6 %</t>
        </is>
      </c>
      <c r="AA3754" s="12">
        <f>N3754*O3754</f>
        <v/>
      </c>
    </row>
    <row r="3755">
      <c r="A3755" s="12" t="inlineStr">
        <is>
          <t>G-P-0197</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RB-B: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83</v>
      </c>
      <c r="U3755" s="15" t="n">
        <v>42</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G-P-0198</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RB-B: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83</v>
      </c>
      <c r="U3756" s="15" t="n">
        <v>42</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G-P-0199</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RB-B: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83</v>
      </c>
      <c r="U3757" s="15" t="n">
        <v>42</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G-P-0200</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RB-B: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83</v>
      </c>
      <c r="U3758" s="15" t="n">
        <v>42</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G-P-0201</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RB-B: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83</v>
      </c>
      <c r="U3759" s="15" t="n">
        <v>42</v>
      </c>
      <c r="V3759" s="15">
        <f>ROUNDUP((T3759+U3759+2*'Read Me'!$B$13)*(1+'Read Me'!$B$12),-1)</f>
        <v/>
      </c>
      <c r="W3759" s="15">
        <f>V3759*N3759*O3759</f>
        <v/>
      </c>
      <c r="X3759" s="12">
        <f>IF(LEFT(I3759,2)="MV",2*N3759*IF(L3759="1/C",O3759,1),0)</f>
        <v/>
      </c>
      <c r="Y3759" s="12">
        <f>IF(OR(LEFT(K3759,4)="LVAX",LEFT(K3759,6)="MV15AX",LEFT(K3759,4)="CTAX",LEFT(K3759,2)="W|"),2*N3759*O3759,0)</f>
        <v/>
      </c>
      <c r="Z3759" s="12" t="inlineStr">
        <is>
          <t>VD 0.8 %</t>
        </is>
      </c>
      <c r="AA3759" s="12">
        <f>N3759*O3759</f>
        <v/>
      </c>
    </row>
    <row r="3760">
      <c r="A3760" s="12" t="inlineStr">
        <is>
          <t>G-P-0202</t>
        </is>
      </c>
      <c r="B3760" s="12" t="inlineStr">
        <is>
          <t>G</t>
        </is>
      </c>
      <c r="C3760" s="12" t="inlineStr">
        <is>
          <t>Carbon capture</t>
        </is>
      </c>
      <c r="D3760" s="12" t="inlineStr">
        <is>
          <t>MOV 1: power</t>
        </is>
      </c>
      <c r="E3760" s="12" t="inlineStr"/>
      <c r="F3760" s="12" t="inlineStr">
        <is>
          <t>CCS MV switchgear building (VFDs)</t>
        </is>
      </c>
      <c r="G3760" s="12" t="inlineStr"/>
      <c r="H3760" s="12" t="inlineStr">
        <is>
          <t>RB-C: reboiler (LP steam from ST extraction)</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5" t="n">
        <v>45</v>
      </c>
      <c r="U3760" s="15" t="n">
        <v>47</v>
      </c>
      <c r="V3760" s="15">
        <f>ROUNDUP((T3760+U3760+2*'Read Me'!$B$13)*(1+'Read Me'!$B$12),-1)</f>
        <v/>
      </c>
      <c r="W3760" s="15">
        <f>V3760*N3760*O3760</f>
        <v/>
      </c>
      <c r="X3760" s="12">
        <f>IF(LEFT(I3760,2)="MV",2*N3760*IF(L3760="1/C",O3760,1),0)</f>
        <v/>
      </c>
      <c r="Y3760" s="12">
        <f>IF(OR(LEFT(K3760,4)="LVAX",LEFT(K3760,6)="MV15AX",LEFT(K3760,4)="CTAX",LEFT(K3760,2)="W|"),2*N3760*O3760,0)</f>
        <v/>
      </c>
      <c r="Z3760" s="12" t="inlineStr">
        <is>
          <t>VD 0.2 %</t>
        </is>
      </c>
      <c r="AA3760" s="12">
        <f>N3760*O3760</f>
        <v/>
      </c>
    </row>
    <row r="3761">
      <c r="A3761" s="12" t="inlineStr">
        <is>
          <t>G-P-0203</t>
        </is>
      </c>
      <c r="B3761" s="12" t="inlineStr">
        <is>
          <t>G</t>
        </is>
      </c>
      <c r="C3761" s="12" t="inlineStr">
        <is>
          <t>Carbon capture</t>
        </is>
      </c>
      <c r="D3761" s="12" t="inlineStr">
        <is>
          <t>MOV 2: power</t>
        </is>
      </c>
      <c r="E3761" s="12" t="inlineStr"/>
      <c r="F3761" s="12" t="inlineStr">
        <is>
          <t>CCS MV switchgear building (VFDs)</t>
        </is>
      </c>
      <c r="G3761" s="12" t="inlineStr"/>
      <c r="H3761" s="12" t="inlineStr">
        <is>
          <t>RB-C: reboiler (LP steam from ST extraction)</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5" t="n">
        <v>45</v>
      </c>
      <c r="U3761" s="15" t="n">
        <v>47</v>
      </c>
      <c r="V3761" s="15">
        <f>ROUNDUP((T3761+U3761+2*'Read Me'!$B$13)*(1+'Read Me'!$B$12),-1)</f>
        <v/>
      </c>
      <c r="W3761" s="15">
        <f>V3761*N3761*O3761</f>
        <v/>
      </c>
      <c r="X3761" s="12">
        <f>IF(LEFT(I3761,2)="MV",2*N3761*IF(L3761="1/C",O3761,1),0)</f>
        <v/>
      </c>
      <c r="Y3761" s="12">
        <f>IF(OR(LEFT(K3761,4)="LVAX",LEFT(K3761,6)="MV15AX",LEFT(K3761,4)="CTAX",LEFT(K3761,2)="W|"),2*N3761*O3761,0)</f>
        <v/>
      </c>
      <c r="Z3761" s="12" t="inlineStr">
        <is>
          <t>VD 0.2 %</t>
        </is>
      </c>
      <c r="AA3761" s="12">
        <f>N3761*O3761</f>
        <v/>
      </c>
    </row>
    <row r="3762">
      <c r="A3762" s="12" t="inlineStr">
        <is>
          <t>G-P-0204</t>
        </is>
      </c>
      <c r="B3762" s="12" t="inlineStr">
        <is>
          <t>G</t>
        </is>
      </c>
      <c r="C3762" s="12" t="inlineStr">
        <is>
          <t>Carbon capture</t>
        </is>
      </c>
      <c r="D3762" s="12" t="inlineStr">
        <is>
          <t>MOV 3: power</t>
        </is>
      </c>
      <c r="E3762" s="12" t="inlineStr"/>
      <c r="F3762" s="12" t="inlineStr">
        <is>
          <t>CCS MV switchgear building (VFDs)</t>
        </is>
      </c>
      <c r="G3762" s="12" t="inlineStr"/>
      <c r="H3762" s="12" t="inlineStr">
        <is>
          <t>RB-C: reboiler (LP steam from ST extraction)</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45</v>
      </c>
      <c r="U3762" s="15" t="n">
        <v>47</v>
      </c>
      <c r="V3762" s="15">
        <f>ROUNDUP((T3762+U3762+2*'Read Me'!$B$13)*(1+'Read Me'!$B$12),-1)</f>
        <v/>
      </c>
      <c r="W3762" s="15">
        <f>V3762*N3762*O3762</f>
        <v/>
      </c>
      <c r="X3762" s="12">
        <f>IF(LEFT(I3762,2)="MV",2*N3762*IF(L3762="1/C",O3762,1),0)</f>
        <v/>
      </c>
      <c r="Y3762" s="12">
        <f>IF(OR(LEFT(K3762,4)="LVAX",LEFT(K3762,6)="MV15AX",LEFT(K3762,4)="CTAX",LEFT(K3762,2)="W|"),2*N3762*O3762,0)</f>
        <v/>
      </c>
      <c r="Z3762" s="12" t="inlineStr">
        <is>
          <t>VD 0.2 %</t>
        </is>
      </c>
      <c r="AA3762" s="12">
        <f>N3762*O3762</f>
        <v/>
      </c>
    </row>
    <row r="3763">
      <c r="A3763" s="12" t="inlineStr">
        <is>
          <t>G-P-0205</t>
        </is>
      </c>
      <c r="B3763" s="12" t="inlineStr">
        <is>
          <t>G</t>
        </is>
      </c>
      <c r="C3763" s="12" t="inlineStr">
        <is>
          <t>Carbon capture</t>
        </is>
      </c>
      <c r="D3763" s="12" t="inlineStr">
        <is>
          <t>MOV 4: power</t>
        </is>
      </c>
      <c r="E3763" s="12" t="inlineStr"/>
      <c r="F3763" s="12" t="inlineStr">
        <is>
          <t>CCS MV switchgear building (VFDs)</t>
        </is>
      </c>
      <c r="G3763" s="12" t="inlineStr"/>
      <c r="H3763" s="12" t="inlineStr">
        <is>
          <t>RB-C: reboiler (LP steam from ST extraction)</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45</v>
      </c>
      <c r="U3763" s="15" t="n">
        <v>47</v>
      </c>
      <c r="V3763" s="15">
        <f>ROUNDUP((T3763+U3763+2*'Read Me'!$B$13)*(1+'Read Me'!$B$12),-1)</f>
        <v/>
      </c>
      <c r="W3763" s="15">
        <f>V3763*N3763*O3763</f>
        <v/>
      </c>
      <c r="X3763" s="12">
        <f>IF(LEFT(I3763,2)="MV",2*N3763*IF(L3763="1/C",O3763,1),0)</f>
        <v/>
      </c>
      <c r="Y3763" s="12">
        <f>IF(OR(LEFT(K3763,4)="LVAX",LEFT(K3763,6)="MV15AX",LEFT(K3763,4)="CTAX",LEFT(K3763,2)="W|"),2*N3763*O3763,0)</f>
        <v/>
      </c>
      <c r="Z3763" s="12" t="inlineStr">
        <is>
          <t>VD 0.2 %</t>
        </is>
      </c>
      <c r="AA3763" s="12">
        <f>N3763*O3763</f>
        <v/>
      </c>
    </row>
    <row r="3764">
      <c r="A3764" s="12" t="inlineStr">
        <is>
          <t>G-P-0206</t>
        </is>
      </c>
      <c r="B3764" s="12" t="inlineStr">
        <is>
          <t>G</t>
        </is>
      </c>
      <c r="C3764" s="12" t="inlineStr">
        <is>
          <t>Carbon capture</t>
        </is>
      </c>
      <c r="D3764" s="12" t="inlineStr">
        <is>
          <t>LV power feeder</t>
        </is>
      </c>
      <c r="E3764" s="12" t="inlineStr"/>
      <c r="F3764" s="12" t="inlineStr">
        <is>
          <t>CCS MV switchgear building (VFDs)</t>
        </is>
      </c>
      <c r="G3764" s="12" t="inlineStr"/>
      <c r="H3764" s="12" t="inlineStr">
        <is>
          <t>RB-C: reboiler (LP steam from ST extraction)</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10</v>
      </c>
      <c r="R3764" s="12" t="n">
        <v>14.2</v>
      </c>
      <c r="S3764" s="12" t="inlineStr">
        <is>
          <t>Duct bank</t>
        </is>
      </c>
      <c r="T3764" s="15" t="n">
        <v>45</v>
      </c>
      <c r="U3764" s="15" t="n">
        <v>47</v>
      </c>
      <c r="V3764" s="15">
        <f>ROUNDUP((T3764+U3764+2*'Read Me'!$B$13)*(1+'Read Me'!$B$12),-1)</f>
        <v/>
      </c>
      <c r="W3764" s="15">
        <f>V3764*N3764*O3764</f>
        <v/>
      </c>
      <c r="X3764" s="12">
        <f>IF(LEFT(I3764,2)="MV",2*N3764*IF(L3764="1/C",O3764,1),0)</f>
        <v/>
      </c>
      <c r="Y3764" s="12">
        <f>IF(OR(LEFT(K3764,4)="LVAX",LEFT(K3764,6)="MV15AX",LEFT(K3764,4)="CTAX",LEFT(K3764,2)="W|"),2*N3764*O3764,0)</f>
        <v/>
      </c>
      <c r="Z3764" s="12" t="inlineStr">
        <is>
          <t>VD 0.6 %</t>
        </is>
      </c>
      <c r="AA3764" s="12">
        <f>N3764*O3764</f>
        <v/>
      </c>
    </row>
    <row r="3765">
      <c r="A3765" s="12" t="inlineStr">
        <is>
          <t>G-P-0207</t>
        </is>
      </c>
      <c r="B3765" s="12" t="inlineStr">
        <is>
          <t>G</t>
        </is>
      </c>
      <c r="C3765" s="12" t="inlineStr">
        <is>
          <t>Carbon capture</t>
        </is>
      </c>
      <c r="D3765" s="12" t="inlineStr">
        <is>
          <t>Motor 1 of 2, 15 kW</t>
        </is>
      </c>
      <c r="E3765" s="12" t="inlineStr"/>
      <c r="F3765" s="12" t="inlineStr">
        <is>
          <t>CCS MV switchgear building (VFDs)</t>
        </is>
      </c>
      <c r="G3765" s="12" t="inlineStr"/>
      <c r="H3765" s="12" t="inlineStr">
        <is>
          <t>Reclaimer (thermal, intermittent)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15</v>
      </c>
      <c r="R3765" s="12" t="n">
        <v>21.2</v>
      </c>
      <c r="S3765" s="12" t="inlineStr">
        <is>
          <t>Duct bank</t>
        </is>
      </c>
      <c r="T3765" s="15" t="n">
        <v>45</v>
      </c>
      <c r="U3765" s="15" t="n">
        <v>57</v>
      </c>
      <c r="V3765" s="15">
        <f>ROUNDUP((T3765+U3765+2*'Read Me'!$B$13)*(1+'Read Me'!$B$12),-1)</f>
        <v/>
      </c>
      <c r="W3765" s="15">
        <f>V3765*N3765*O3765</f>
        <v/>
      </c>
      <c r="X3765" s="12">
        <f>IF(LEFT(I3765,2)="MV",2*N3765*IF(L3765="1/C",O3765,1),0)</f>
        <v/>
      </c>
      <c r="Y3765" s="12">
        <f>IF(OR(LEFT(K3765,4)="LVAX",LEFT(K3765,6)="MV15AX",LEFT(K3765,4)="CTAX",LEFT(K3765,2)="W|"),2*N3765*O3765,0)</f>
        <v/>
      </c>
      <c r="Z3765" s="12" t="inlineStr">
        <is>
          <t>VD 1.0 %</t>
        </is>
      </c>
      <c r="AA3765" s="12">
        <f>N3765*O3765</f>
        <v/>
      </c>
    </row>
    <row r="3766">
      <c r="A3766" s="12" t="inlineStr">
        <is>
          <t>G-P-0208</t>
        </is>
      </c>
      <c r="B3766" s="12" t="inlineStr">
        <is>
          <t>G</t>
        </is>
      </c>
      <c r="C3766" s="12" t="inlineStr">
        <is>
          <t>Carbon capture</t>
        </is>
      </c>
      <c r="D3766" s="12" t="inlineStr">
        <is>
          <t>Motor 2 of 2, 15 kW</t>
        </is>
      </c>
      <c r="E3766" s="12" t="inlineStr"/>
      <c r="F3766" s="12" t="inlineStr">
        <is>
          <t>CCS MV switchgear building (VFDs)</t>
        </is>
      </c>
      <c r="G3766" s="12" t="inlineStr"/>
      <c r="H3766" s="12" t="inlineStr">
        <is>
          <t>Reclaimer (thermal, intermittent)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15</v>
      </c>
      <c r="R3766" s="12" t="n">
        <v>21.2</v>
      </c>
      <c r="S3766" s="12" t="inlineStr">
        <is>
          <t>Duct bank</t>
        </is>
      </c>
      <c r="T3766" s="15" t="n">
        <v>45</v>
      </c>
      <c r="U3766" s="15" t="n">
        <v>57</v>
      </c>
      <c r="V3766" s="15">
        <f>ROUNDUP((T3766+U3766+2*'Read Me'!$B$13)*(1+'Read Me'!$B$12),-1)</f>
        <v/>
      </c>
      <c r="W3766" s="15">
        <f>V3766*N3766*O3766</f>
        <v/>
      </c>
      <c r="X3766" s="12">
        <f>IF(LEFT(I3766,2)="MV",2*N3766*IF(L3766="1/C",O3766,1),0)</f>
        <v/>
      </c>
      <c r="Y3766" s="12">
        <f>IF(OR(LEFT(K3766,4)="LVAX",LEFT(K3766,6)="MV15AX",LEFT(K3766,4)="CTAX",LEFT(K3766,2)="W|"),2*N3766*O3766,0)</f>
        <v/>
      </c>
      <c r="Z3766" s="12" t="inlineStr">
        <is>
          <t>VD 1.0 %</t>
        </is>
      </c>
      <c r="AA3766" s="12">
        <f>N3766*O3766</f>
        <v/>
      </c>
    </row>
    <row r="3767">
      <c r="A3767" s="12" t="inlineStr">
        <is>
          <t>G-P-0209</t>
        </is>
      </c>
      <c r="B3767" s="12" t="inlineStr">
        <is>
          <t>G</t>
        </is>
      </c>
      <c r="C3767" s="12" t="inlineStr">
        <is>
          <t>Carbon capture</t>
        </is>
      </c>
      <c r="D3767" s="12" t="inlineStr">
        <is>
          <t>MOV 1: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G-P-0210</t>
        </is>
      </c>
      <c r="B3768" s="12" t="inlineStr">
        <is>
          <t>G</t>
        </is>
      </c>
      <c r="C3768" s="12" t="inlineStr">
        <is>
          <t>Carbon capture</t>
        </is>
      </c>
      <c r="D3768" s="12" t="inlineStr">
        <is>
          <t>MOV 2: power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0.3 %</t>
        </is>
      </c>
      <c r="AA3768" s="12">
        <f>N3768*O3768</f>
        <v/>
      </c>
    </row>
    <row r="3769">
      <c r="A3769" s="12" t="inlineStr">
        <is>
          <t>G-P-0211</t>
        </is>
      </c>
      <c r="B3769" s="12" t="inlineStr">
        <is>
          <t>G</t>
        </is>
      </c>
      <c r="C3769" s="12" t="inlineStr">
        <is>
          <t>Carbon capture</t>
        </is>
      </c>
      <c r="D3769" s="12" t="inlineStr">
        <is>
          <t>MOV 3: power</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5" t="n">
        <v>146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VD 0.3 %</t>
        </is>
      </c>
      <c r="AA3769" s="12">
        <f>N3769*O3769</f>
        <v/>
      </c>
    </row>
    <row r="3770">
      <c r="A3770" s="12" t="inlineStr">
        <is>
          <t>G-P-0212</t>
        </is>
      </c>
      <c r="B3770" s="12" t="inlineStr">
        <is>
          <t>G</t>
        </is>
      </c>
      <c r="C3770" s="12" t="inlineStr">
        <is>
          <t>Carbon capture</t>
        </is>
      </c>
      <c r="D3770" s="12" t="inlineStr">
        <is>
          <t>MOV 4: power</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5" t="n">
        <v>146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VD 0.3 %</t>
        </is>
      </c>
      <c r="AA3770" s="12">
        <f>N3770*O3770</f>
        <v/>
      </c>
    </row>
    <row r="3771">
      <c r="A3771" s="12" t="inlineStr">
        <is>
          <t>G-P-0213</t>
        </is>
      </c>
      <c r="B3771" s="12" t="inlineStr">
        <is>
          <t>G</t>
        </is>
      </c>
      <c r="C3771" s="12" t="inlineStr">
        <is>
          <t>Carbon capture</t>
        </is>
      </c>
      <c r="D3771" s="12" t="inlineStr">
        <is>
          <t>MOV 5: power</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0.3 %</t>
        </is>
      </c>
      <c r="AA3771" s="12">
        <f>N3771*O3771</f>
        <v/>
      </c>
    </row>
    <row r="3772">
      <c r="A3772" s="12" t="inlineStr">
        <is>
          <t>G-P-0214</t>
        </is>
      </c>
      <c r="B3772" s="12" t="inlineStr">
        <is>
          <t>G</t>
        </is>
      </c>
      <c r="C3772" s="12" t="inlineStr">
        <is>
          <t>Carbon capture</t>
        </is>
      </c>
      <c r="D3772" s="12" t="inlineStr">
        <is>
          <t>MOV 6: power</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0.3 %</t>
        </is>
      </c>
      <c r="AA3772" s="12">
        <f>N3772*O3772</f>
        <v/>
      </c>
    </row>
    <row r="3773">
      <c r="A3773" s="12" t="inlineStr">
        <is>
          <t>G-P-0215</t>
        </is>
      </c>
      <c r="B3773" s="12" t="inlineStr">
        <is>
          <t>G</t>
        </is>
      </c>
      <c r="C3773" s="12" t="inlineStr">
        <is>
          <t>Carbon capture</t>
        </is>
      </c>
      <c r="D3773" s="12" t="inlineStr">
        <is>
          <t>LV power feeder</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LV|3/C+G|6</t>
        </is>
      </c>
      <c r="L3773" s="12" t="inlineStr">
        <is>
          <t>3/C+G</t>
        </is>
      </c>
      <c r="M3773" s="12" t="inlineStr">
        <is>
          <t>6</t>
        </is>
      </c>
      <c r="N3773" s="12" t="n">
        <v>1</v>
      </c>
      <c r="O3773" s="12" t="n">
        <v>1</v>
      </c>
      <c r="P3773" s="12" t="n">
        <v>480</v>
      </c>
      <c r="Q3773" s="12" t="n">
        <v>30</v>
      </c>
      <c r="R3773" s="12" t="n">
        <v>42.5</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1.5 %</t>
        </is>
      </c>
      <c r="AA3773" s="12">
        <f>N3773*O3773</f>
        <v/>
      </c>
    </row>
    <row r="3774">
      <c r="A3774" s="12" t="inlineStr">
        <is>
          <t>G-P-0216</t>
        </is>
      </c>
      <c r="B3774" s="12" t="inlineStr">
        <is>
          <t>G</t>
        </is>
      </c>
      <c r="C3774" s="12" t="inlineStr">
        <is>
          <t>Carbon capture</t>
        </is>
      </c>
      <c r="D3774" s="12" t="inlineStr">
        <is>
          <t>Area / platform lighting circuit 1 (12 fixtures)</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3</v>
      </c>
      <c r="R3774" s="12" t="n">
        <v>5</v>
      </c>
      <c r="S3774" s="12" t="inlineStr">
        <is>
          <t>Duct bank</t>
        </is>
      </c>
      <c r="T3774" s="15" t="n">
        <v>446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fixture-to-fixture run included</t>
        </is>
      </c>
      <c r="AA3774" s="12">
        <f>N3774*O3774</f>
        <v/>
      </c>
    </row>
    <row r="3775">
      <c r="A3775" s="12" t="inlineStr">
        <is>
          <t>G-P-0217</t>
        </is>
      </c>
      <c r="B3775" s="12" t="inlineStr">
        <is>
          <t>G</t>
        </is>
      </c>
      <c r="C3775" s="12" t="inlineStr">
        <is>
          <t>Carbon capture</t>
        </is>
      </c>
      <c r="D3775" s="12" t="inlineStr">
        <is>
          <t>Area / platform lighting circuit 2 (8 fixtures)</t>
        </is>
      </c>
      <c r="E3775" s="12" t="inlineStr"/>
      <c r="F3775" s="12" t="inlineStr">
        <is>
          <t>CCS MV switchgear building (VFDs)</t>
        </is>
      </c>
      <c r="G3775" s="12" t="inlineStr">
        <is>
          <t>STR-A</t>
        </is>
      </c>
      <c r="H3775" s="12" t="inlineStr">
        <is>
          <t>STR-A: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5" t="n">
        <v>446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G-P-0218</t>
        </is>
      </c>
      <c r="B3776" s="12" t="inlineStr">
        <is>
          <t>G</t>
        </is>
      </c>
      <c r="C3776" s="12" t="inlineStr">
        <is>
          <t>Carbon capture</t>
        </is>
      </c>
      <c r="D3776" s="12" t="inlineStr">
        <is>
          <t>480 V welding receptacle 1</t>
        </is>
      </c>
      <c r="E3776" s="12" t="inlineStr"/>
      <c r="F3776" s="12" t="inlineStr">
        <is>
          <t>CCS MV switchgear building (VFDs)</t>
        </is>
      </c>
      <c r="G3776" s="12" t="inlineStr">
        <is>
          <t>STR-A</t>
        </is>
      </c>
      <c r="H3776" s="12" t="inlineStr">
        <is>
          <t>STR-A: stripper / regenerator (45 ft dia x 207 ft)</t>
        </is>
      </c>
      <c r="I3776" s="12" t="inlineStr">
        <is>
          <t>LV 600 V</t>
        </is>
      </c>
      <c r="J3776" s="12" t="inlineStr">
        <is>
          <t>Type TC-ER 600 V 3/C Cu XHHW-2 + ground, PVC jacket</t>
        </is>
      </c>
      <c r="K3776" s="12" t="inlineStr">
        <is>
          <t>LV|3/C+G|2</t>
        </is>
      </c>
      <c r="L3776" s="12" t="inlineStr">
        <is>
          <t>3/C+G</t>
        </is>
      </c>
      <c r="M3776" s="12" t="inlineStr">
        <is>
          <t>2</t>
        </is>
      </c>
      <c r="N3776" s="12" t="n">
        <v>1</v>
      </c>
      <c r="O3776" s="12" t="n">
        <v>1</v>
      </c>
      <c r="P3776" s="12" t="n">
        <v>480</v>
      </c>
      <c r="Q3776" s="12" t="n">
        <v>60</v>
      </c>
      <c r="R3776" s="12" t="n">
        <v>76</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1.1 %</t>
        </is>
      </c>
      <c r="AA3776" s="12">
        <f>N3776*O3776</f>
        <v/>
      </c>
    </row>
    <row r="3777">
      <c r="A3777" s="12" t="inlineStr">
        <is>
          <t>G-P-0219</t>
        </is>
      </c>
      <c r="B3777" s="12" t="inlineStr">
        <is>
          <t>G</t>
        </is>
      </c>
      <c r="C3777" s="12" t="inlineStr">
        <is>
          <t>Carbon capture</t>
        </is>
      </c>
      <c r="D3777" s="12" t="inlineStr">
        <is>
          <t>480 V welding receptacle 2</t>
        </is>
      </c>
      <c r="E3777" s="12" t="inlineStr"/>
      <c r="F3777" s="12" t="inlineStr">
        <is>
          <t>CCS MV switchgear building (VFDs)</t>
        </is>
      </c>
      <c r="G3777" s="12" t="inlineStr">
        <is>
          <t>STR-A</t>
        </is>
      </c>
      <c r="H3777" s="12" t="inlineStr">
        <is>
          <t>STR-A: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1.1 %</t>
        </is>
      </c>
      <c r="AA3777" s="12">
        <f>N3777*O3777</f>
        <v/>
      </c>
    </row>
    <row r="3778">
      <c r="A3778" s="12" t="inlineStr">
        <is>
          <t>G-P-0220</t>
        </is>
      </c>
      <c r="B3778" s="12" t="inlineStr">
        <is>
          <t>G</t>
        </is>
      </c>
      <c r="C3778" s="12" t="inlineStr">
        <is>
          <t>Carbon capture</t>
        </is>
      </c>
      <c r="D3778" s="12" t="inlineStr">
        <is>
          <t>480 V welding receptacle 3</t>
        </is>
      </c>
      <c r="E3778" s="12" t="inlineStr"/>
      <c r="F3778" s="12" t="inlineStr">
        <is>
          <t>CCS MV switchgear building (VFDs)</t>
        </is>
      </c>
      <c r="G3778" s="12" t="inlineStr">
        <is>
          <t>STR-A</t>
        </is>
      </c>
      <c r="H3778" s="12" t="inlineStr">
        <is>
          <t>STR-A: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1.1 %</t>
        </is>
      </c>
      <c r="AA3778" s="12">
        <f>N3778*O3778</f>
        <v/>
      </c>
    </row>
    <row r="3779">
      <c r="A3779" s="12" t="inlineStr">
        <is>
          <t>G-P-0221</t>
        </is>
      </c>
      <c r="B3779" s="12" t="inlineStr">
        <is>
          <t>G</t>
        </is>
      </c>
      <c r="C3779" s="12" t="inlineStr">
        <is>
          <t>Carbon capture</t>
        </is>
      </c>
      <c r="D3779" s="12" t="inlineStr">
        <is>
          <t>480 V welding receptacle 4</t>
        </is>
      </c>
      <c r="E3779" s="12" t="inlineStr"/>
      <c r="F3779" s="12" t="inlineStr">
        <is>
          <t>CCS MV switchgear building (VFDs)</t>
        </is>
      </c>
      <c r="G3779" s="12" t="inlineStr">
        <is>
          <t>STR-A</t>
        </is>
      </c>
      <c r="H3779" s="12" t="inlineStr">
        <is>
          <t>STR-A: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1.1 %</t>
        </is>
      </c>
      <c r="AA3779" s="12">
        <f>N3779*O3779</f>
        <v/>
      </c>
    </row>
    <row r="3780">
      <c r="A3780" s="12" t="inlineStr">
        <is>
          <t>G-P-0222</t>
        </is>
      </c>
      <c r="B3780" s="12" t="inlineStr">
        <is>
          <t>G</t>
        </is>
      </c>
      <c r="C3780" s="12" t="inlineStr">
        <is>
          <t>Carbon capture</t>
        </is>
      </c>
      <c r="D3780" s="12" t="inlineStr">
        <is>
          <t>MOV 1: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G-P-0223</t>
        </is>
      </c>
      <c r="B3781" s="12" t="inlineStr">
        <is>
          <t>G</t>
        </is>
      </c>
      <c r="C3781" s="12" t="inlineStr">
        <is>
          <t>Carbon capture</t>
        </is>
      </c>
      <c r="D3781" s="12" t="inlineStr">
        <is>
          <t>MOV 2: power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2.5</v>
      </c>
      <c r="R3781" s="12" t="n">
        <v>3.5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0.3 %</t>
        </is>
      </c>
      <c r="AA3781" s="12">
        <f>N3781*O3781</f>
        <v/>
      </c>
    </row>
    <row r="3782">
      <c r="A3782" s="12" t="inlineStr">
        <is>
          <t>G-P-0224</t>
        </is>
      </c>
      <c r="B3782" s="12" t="inlineStr">
        <is>
          <t>G</t>
        </is>
      </c>
      <c r="C3782" s="12" t="inlineStr">
        <is>
          <t>Carbon capture</t>
        </is>
      </c>
      <c r="D3782" s="12" t="inlineStr">
        <is>
          <t>MOV 3: power</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2.5</v>
      </c>
      <c r="R3782" s="12" t="n">
        <v>3.5</v>
      </c>
      <c r="S3782" s="12" t="inlineStr">
        <is>
          <t>Duct bank</t>
        </is>
      </c>
      <c r="T3782" s="15" t="n">
        <v>146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VD 0.3 %</t>
        </is>
      </c>
      <c r="AA3782" s="12">
        <f>N3782*O3782</f>
        <v/>
      </c>
    </row>
    <row r="3783">
      <c r="A3783" s="12" t="inlineStr">
        <is>
          <t>G-P-0225</t>
        </is>
      </c>
      <c r="B3783" s="12" t="inlineStr">
        <is>
          <t>G</t>
        </is>
      </c>
      <c r="C3783" s="12" t="inlineStr">
        <is>
          <t>Carbon capture</t>
        </is>
      </c>
      <c r="D3783" s="12" t="inlineStr">
        <is>
          <t>MOV 4: power</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2.5</v>
      </c>
      <c r="R3783" s="12" t="n">
        <v>3.5</v>
      </c>
      <c r="S3783" s="12" t="inlineStr">
        <is>
          <t>Duct bank</t>
        </is>
      </c>
      <c r="T3783" s="15" t="n">
        <v>146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VD 0.3 %</t>
        </is>
      </c>
      <c r="AA3783" s="12">
        <f>N3783*O3783</f>
        <v/>
      </c>
    </row>
    <row r="3784">
      <c r="A3784" s="12" t="inlineStr">
        <is>
          <t>G-P-0226</t>
        </is>
      </c>
      <c r="B3784" s="12" t="inlineStr">
        <is>
          <t>G</t>
        </is>
      </c>
      <c r="C3784" s="12" t="inlineStr">
        <is>
          <t>Carbon capture</t>
        </is>
      </c>
      <c r="D3784" s="12" t="inlineStr">
        <is>
          <t>MOV 5: power</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2.5</v>
      </c>
      <c r="R3784" s="12" t="n">
        <v>3.5</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0.3 %</t>
        </is>
      </c>
      <c r="AA3784" s="12">
        <f>N3784*O3784</f>
        <v/>
      </c>
    </row>
    <row r="3785">
      <c r="A3785" s="12" t="inlineStr">
        <is>
          <t>G-P-0227</t>
        </is>
      </c>
      <c r="B3785" s="12" t="inlineStr">
        <is>
          <t>G</t>
        </is>
      </c>
      <c r="C3785" s="12" t="inlineStr">
        <is>
          <t>Carbon capture</t>
        </is>
      </c>
      <c r="D3785" s="12" t="inlineStr">
        <is>
          <t>MOV 6: power</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LV|3/C+G|10</t>
        </is>
      </c>
      <c r="L3785" s="12" t="inlineStr">
        <is>
          <t>3/C+G</t>
        </is>
      </c>
      <c r="M3785" s="12" t="inlineStr">
        <is>
          <t>10</t>
        </is>
      </c>
      <c r="N3785" s="12" t="n">
        <v>1</v>
      </c>
      <c r="O3785" s="12" t="n">
        <v>1</v>
      </c>
      <c r="P3785" s="12" t="n">
        <v>480</v>
      </c>
      <c r="Q3785" s="12" t="n">
        <v>2.5</v>
      </c>
      <c r="R3785" s="12" t="n">
        <v>3.5</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0.3 %</t>
        </is>
      </c>
      <c r="AA3785" s="12">
        <f>N3785*O3785</f>
        <v/>
      </c>
    </row>
    <row r="3786">
      <c r="A3786" s="12" t="inlineStr">
        <is>
          <t>G-P-0228</t>
        </is>
      </c>
      <c r="B3786" s="12" t="inlineStr">
        <is>
          <t>G</t>
        </is>
      </c>
      <c r="C3786" s="12" t="inlineStr">
        <is>
          <t>Carbon capture</t>
        </is>
      </c>
      <c r="D3786" s="12" t="inlineStr">
        <is>
          <t>LV power feeder</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LV|3/C+G|6</t>
        </is>
      </c>
      <c r="L3786" s="12" t="inlineStr">
        <is>
          <t>3/C+G</t>
        </is>
      </c>
      <c r="M3786" s="12" t="inlineStr">
        <is>
          <t>6</t>
        </is>
      </c>
      <c r="N3786" s="12" t="n">
        <v>1</v>
      </c>
      <c r="O3786" s="12" t="n">
        <v>1</v>
      </c>
      <c r="P3786" s="12" t="n">
        <v>480</v>
      </c>
      <c r="Q3786" s="12" t="n">
        <v>30</v>
      </c>
      <c r="R3786" s="12" t="n">
        <v>42.5</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1.5 %</t>
        </is>
      </c>
      <c r="AA3786" s="12">
        <f>N3786*O3786</f>
        <v/>
      </c>
    </row>
    <row r="3787">
      <c r="A3787" s="12" t="inlineStr">
        <is>
          <t>G-P-0229</t>
        </is>
      </c>
      <c r="B3787" s="12" t="inlineStr">
        <is>
          <t>G</t>
        </is>
      </c>
      <c r="C3787" s="12" t="inlineStr">
        <is>
          <t>Carbon capture</t>
        </is>
      </c>
      <c r="D3787" s="12" t="inlineStr">
        <is>
          <t>Area / platform lighting circuit 1 (12 fixtures)</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LV|3/C+G|10</t>
        </is>
      </c>
      <c r="L3787" s="12" t="inlineStr">
        <is>
          <t>3/C+G</t>
        </is>
      </c>
      <c r="M3787" s="12" t="inlineStr">
        <is>
          <t>10</t>
        </is>
      </c>
      <c r="N3787" s="12" t="n">
        <v>1</v>
      </c>
      <c r="O3787" s="12" t="n">
        <v>1</v>
      </c>
      <c r="P3787" s="12" t="n">
        <v>480</v>
      </c>
      <c r="Q3787" s="12" t="n">
        <v>3</v>
      </c>
      <c r="R3787" s="12" t="n">
        <v>5</v>
      </c>
      <c r="S3787" s="12" t="inlineStr">
        <is>
          <t>Duct bank</t>
        </is>
      </c>
      <c r="T3787" s="15" t="n">
        <v>446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fixture-to-fixture run included</t>
        </is>
      </c>
      <c r="AA3787" s="12">
        <f>N3787*O3787</f>
        <v/>
      </c>
    </row>
    <row r="3788">
      <c r="A3788" s="12" t="inlineStr">
        <is>
          <t>G-P-0230</t>
        </is>
      </c>
      <c r="B3788" s="12" t="inlineStr">
        <is>
          <t>G</t>
        </is>
      </c>
      <c r="C3788" s="12" t="inlineStr">
        <is>
          <t>Carbon capture</t>
        </is>
      </c>
      <c r="D3788" s="12" t="inlineStr">
        <is>
          <t>Area / platform lighting circuit 2 (8 fixtures)</t>
        </is>
      </c>
      <c r="E3788" s="12" t="inlineStr"/>
      <c r="F3788" s="12" t="inlineStr">
        <is>
          <t>CCS MV switchgear building (VFDs)</t>
        </is>
      </c>
      <c r="G3788" s="12" t="inlineStr">
        <is>
          <t>STR-B</t>
        </is>
      </c>
      <c r="H3788" s="12" t="inlineStr">
        <is>
          <t>STR-B: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3</v>
      </c>
      <c r="R3788" s="12" t="n">
        <v>5</v>
      </c>
      <c r="S3788" s="12" t="inlineStr">
        <is>
          <t>Duct bank</t>
        </is>
      </c>
      <c r="T3788" s="15" t="n">
        <v>446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fixture-to-fixture run included</t>
        </is>
      </c>
      <c r="AA3788" s="12">
        <f>N3788*O3788</f>
        <v/>
      </c>
    </row>
    <row r="3789">
      <c r="A3789" s="12" t="inlineStr">
        <is>
          <t>G-P-0231</t>
        </is>
      </c>
      <c r="B3789" s="12" t="inlineStr">
        <is>
          <t>G</t>
        </is>
      </c>
      <c r="C3789" s="12" t="inlineStr">
        <is>
          <t>Carbon capture</t>
        </is>
      </c>
      <c r="D3789" s="12" t="inlineStr">
        <is>
          <t>480 V welding receptacle 1</t>
        </is>
      </c>
      <c r="E3789" s="12" t="inlineStr"/>
      <c r="F3789" s="12" t="inlineStr">
        <is>
          <t>CCS MV switchgear building (VFDs)</t>
        </is>
      </c>
      <c r="G3789" s="12" t="inlineStr">
        <is>
          <t>STR-B</t>
        </is>
      </c>
      <c r="H3789" s="12" t="inlineStr">
        <is>
          <t>STR-B: stripper / regenerator (45 ft dia x 207 ft)</t>
        </is>
      </c>
      <c r="I3789" s="12" t="inlineStr">
        <is>
          <t>LV 600 V</t>
        </is>
      </c>
      <c r="J3789" s="12" t="inlineStr">
        <is>
          <t>Type TC-ER 600 V 3/C Cu XHHW-2 + ground, PVC jacket</t>
        </is>
      </c>
      <c r="K3789" s="12" t="inlineStr">
        <is>
          <t>LV|3/C+G|2</t>
        </is>
      </c>
      <c r="L3789" s="12" t="inlineStr">
        <is>
          <t>3/C+G</t>
        </is>
      </c>
      <c r="M3789" s="12" t="inlineStr">
        <is>
          <t>2</t>
        </is>
      </c>
      <c r="N3789" s="12" t="n">
        <v>1</v>
      </c>
      <c r="O3789" s="12" t="n">
        <v>1</v>
      </c>
      <c r="P3789" s="12" t="n">
        <v>480</v>
      </c>
      <c r="Q3789" s="12" t="n">
        <v>60</v>
      </c>
      <c r="R3789" s="12" t="n">
        <v>76</v>
      </c>
      <c r="S3789" s="12" t="inlineStr">
        <is>
          <t>Duct bank</t>
        </is>
      </c>
      <c r="T3789" s="15" t="n">
        <v>146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G-P-0232</t>
        </is>
      </c>
      <c r="B3790" s="12" t="inlineStr">
        <is>
          <t>G</t>
        </is>
      </c>
      <c r="C3790" s="12" t="inlineStr">
        <is>
          <t>Carbon capture</t>
        </is>
      </c>
      <c r="D3790" s="12" t="inlineStr">
        <is>
          <t>480 V welding receptacle 2</t>
        </is>
      </c>
      <c r="E3790" s="12" t="inlineStr"/>
      <c r="F3790" s="12" t="inlineStr">
        <is>
          <t>CCS MV switchgear building (VFDs)</t>
        </is>
      </c>
      <c r="G3790" s="12" t="inlineStr">
        <is>
          <t>STR-B</t>
        </is>
      </c>
      <c r="H3790" s="12" t="inlineStr">
        <is>
          <t>STR-B: stripper / regenerator (45 ft dia x 207 ft)</t>
        </is>
      </c>
      <c r="I3790" s="12" t="inlineStr">
        <is>
          <t>LV 600 V</t>
        </is>
      </c>
      <c r="J3790" s="12" t="inlineStr">
        <is>
          <t>Type TC-ER 600 V 3/C Cu XHHW-2 + ground, PVC jacket</t>
        </is>
      </c>
      <c r="K3790" s="12" t="inlineStr">
        <is>
          <t>LV|3/C+G|2</t>
        </is>
      </c>
      <c r="L3790" s="12" t="inlineStr">
        <is>
          <t>3/C+G</t>
        </is>
      </c>
      <c r="M3790" s="12" t="inlineStr">
        <is>
          <t>2</t>
        </is>
      </c>
      <c r="N3790" s="12" t="n">
        <v>1</v>
      </c>
      <c r="O3790" s="12" t="n">
        <v>1</v>
      </c>
      <c r="P3790" s="12" t="n">
        <v>480</v>
      </c>
      <c r="Q3790" s="12" t="n">
        <v>60</v>
      </c>
      <c r="R3790" s="12" t="n">
        <v>76</v>
      </c>
      <c r="S3790" s="12" t="inlineStr">
        <is>
          <t>Duct bank</t>
        </is>
      </c>
      <c r="T3790" s="15" t="n">
        <v>146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G-P-0233</t>
        </is>
      </c>
      <c r="B3791" s="12" t="inlineStr">
        <is>
          <t>G</t>
        </is>
      </c>
      <c r="C3791" s="12" t="inlineStr">
        <is>
          <t>Carbon capture</t>
        </is>
      </c>
      <c r="D3791" s="12" t="inlineStr">
        <is>
          <t>480 V welding receptacle 3</t>
        </is>
      </c>
      <c r="E3791" s="12" t="inlineStr"/>
      <c r="F3791" s="12" t="inlineStr">
        <is>
          <t>CCS MV switchgear building (VFDs)</t>
        </is>
      </c>
      <c r="G3791" s="12" t="inlineStr">
        <is>
          <t>STR-B</t>
        </is>
      </c>
      <c r="H3791" s="12" t="inlineStr">
        <is>
          <t>STR-B: stripper / regenerator (45 ft dia x 207 ft)</t>
        </is>
      </c>
      <c r="I3791" s="12" t="inlineStr">
        <is>
          <t>LV 600 V</t>
        </is>
      </c>
      <c r="J3791" s="12" t="inlineStr">
        <is>
          <t>Type TC-ER 600 V 3/C Cu XHHW-2 + ground, PVC jacket</t>
        </is>
      </c>
      <c r="K3791" s="12" t="inlineStr">
        <is>
          <t>LV|3/C+G|2</t>
        </is>
      </c>
      <c r="L3791" s="12" t="inlineStr">
        <is>
          <t>3/C+G</t>
        </is>
      </c>
      <c r="M3791" s="12" t="inlineStr">
        <is>
          <t>2</t>
        </is>
      </c>
      <c r="N3791" s="12" t="n">
        <v>1</v>
      </c>
      <c r="O3791" s="12" t="n">
        <v>1</v>
      </c>
      <c r="P3791" s="12" t="n">
        <v>480</v>
      </c>
      <c r="Q3791" s="12" t="n">
        <v>60</v>
      </c>
      <c r="R3791" s="12" t="n">
        <v>76</v>
      </c>
      <c r="S3791" s="12" t="inlineStr">
        <is>
          <t>Duct bank</t>
        </is>
      </c>
      <c r="T3791" s="15" t="n">
        <v>146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1.1 %</t>
        </is>
      </c>
      <c r="AA3791" s="12">
        <f>N3791*O3791</f>
        <v/>
      </c>
    </row>
    <row r="3792">
      <c r="A3792" s="12" t="inlineStr">
        <is>
          <t>G-P-0234</t>
        </is>
      </c>
      <c r="B3792" s="12" t="inlineStr">
        <is>
          <t>G</t>
        </is>
      </c>
      <c r="C3792" s="12" t="inlineStr">
        <is>
          <t>Carbon capture</t>
        </is>
      </c>
      <c r="D3792" s="12" t="inlineStr">
        <is>
          <t>480 V welding receptacle 4</t>
        </is>
      </c>
      <c r="E3792" s="12" t="inlineStr"/>
      <c r="F3792" s="12" t="inlineStr">
        <is>
          <t>CCS MV switchgear building (VFDs)</t>
        </is>
      </c>
      <c r="G3792" s="12" t="inlineStr">
        <is>
          <t>STR-B</t>
        </is>
      </c>
      <c r="H3792" s="12" t="inlineStr">
        <is>
          <t>STR-B: stripper / regenerator (45 ft dia x 207 ft)</t>
        </is>
      </c>
      <c r="I3792" s="12" t="inlineStr">
        <is>
          <t>LV 600 V</t>
        </is>
      </c>
      <c r="J3792" s="12" t="inlineStr">
        <is>
          <t>Type TC-ER 600 V 3/C Cu XHHW-2 + ground, PVC jacket</t>
        </is>
      </c>
      <c r="K3792" s="12" t="inlineStr">
        <is>
          <t>LV|3/C+G|2</t>
        </is>
      </c>
      <c r="L3792" s="12" t="inlineStr">
        <is>
          <t>3/C+G</t>
        </is>
      </c>
      <c r="M3792" s="12" t="inlineStr">
        <is>
          <t>2</t>
        </is>
      </c>
      <c r="N3792" s="12" t="n">
        <v>1</v>
      </c>
      <c r="O3792" s="12" t="n">
        <v>1</v>
      </c>
      <c r="P3792" s="12" t="n">
        <v>480</v>
      </c>
      <c r="Q3792" s="12" t="n">
        <v>60</v>
      </c>
      <c r="R3792" s="12" t="n">
        <v>76</v>
      </c>
      <c r="S3792" s="12" t="inlineStr">
        <is>
          <t>Duct bank</t>
        </is>
      </c>
      <c r="T3792" s="15" t="n">
        <v>146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1.1 %</t>
        </is>
      </c>
      <c r="AA3792" s="12">
        <f>N3792*O3792</f>
        <v/>
      </c>
    </row>
    <row r="3793">
      <c r="A3793" s="12" t="inlineStr">
        <is>
          <t>G-P-0235</t>
        </is>
      </c>
      <c r="B3793" s="12" t="inlineStr">
        <is>
          <t>G</t>
        </is>
      </c>
      <c r="C3793" s="12" t="inlineStr">
        <is>
          <t>Carbon capture</t>
        </is>
      </c>
      <c r="D3793" s="12" t="inlineStr">
        <is>
          <t>MOV 1: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G-P-0236</t>
        </is>
      </c>
      <c r="B3794" s="12" t="inlineStr">
        <is>
          <t>G</t>
        </is>
      </c>
      <c r="C3794" s="12" t="inlineStr">
        <is>
          <t>Carbon capture</t>
        </is>
      </c>
      <c r="D3794" s="12" t="inlineStr">
        <is>
          <t>MOV 2: power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LV|3/C+G|10</t>
        </is>
      </c>
      <c r="L3794" s="12" t="inlineStr">
        <is>
          <t>3/C+G</t>
        </is>
      </c>
      <c r="M3794" s="12" t="inlineStr">
        <is>
          <t>10</t>
        </is>
      </c>
      <c r="N3794" s="12" t="n">
        <v>1</v>
      </c>
      <c r="O3794" s="12" t="n">
        <v>1</v>
      </c>
      <c r="P3794" s="12" t="n">
        <v>480</v>
      </c>
      <c r="Q3794" s="12" t="n">
        <v>2.5</v>
      </c>
      <c r="R3794" s="12" t="n">
        <v>3.5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0.4 %</t>
        </is>
      </c>
      <c r="AA3794" s="12">
        <f>N3794*O3794</f>
        <v/>
      </c>
    </row>
    <row r="3795">
      <c r="A3795" s="12" t="inlineStr">
        <is>
          <t>G-P-0237</t>
        </is>
      </c>
      <c r="B3795" s="12" t="inlineStr">
        <is>
          <t>G</t>
        </is>
      </c>
      <c r="C3795" s="12" t="inlineStr">
        <is>
          <t>Carbon capture</t>
        </is>
      </c>
      <c r="D3795" s="12" t="inlineStr">
        <is>
          <t>MOV 3: power</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2.5</v>
      </c>
      <c r="R3795" s="12" t="n">
        <v>3.5</v>
      </c>
      <c r="S3795" s="12" t="inlineStr">
        <is>
          <t>Duct bank</t>
        </is>
      </c>
      <c r="T3795" s="15" t="n">
        <v>196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VD 0.4 %</t>
        </is>
      </c>
      <c r="AA3795" s="12">
        <f>N3795*O3795</f>
        <v/>
      </c>
    </row>
    <row r="3796">
      <c r="A3796" s="12" t="inlineStr">
        <is>
          <t>G-P-0238</t>
        </is>
      </c>
      <c r="B3796" s="12" t="inlineStr">
        <is>
          <t>G</t>
        </is>
      </c>
      <c r="C3796" s="12" t="inlineStr">
        <is>
          <t>Carbon capture</t>
        </is>
      </c>
      <c r="D3796" s="12" t="inlineStr">
        <is>
          <t>MOV 4: power</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2.5</v>
      </c>
      <c r="R3796" s="12" t="n">
        <v>3.5</v>
      </c>
      <c r="S3796" s="12" t="inlineStr">
        <is>
          <t>Duct bank</t>
        </is>
      </c>
      <c r="T3796" s="15" t="n">
        <v>196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VD 0.4 %</t>
        </is>
      </c>
      <c r="AA3796" s="12">
        <f>N3796*O3796</f>
        <v/>
      </c>
    </row>
    <row r="3797">
      <c r="A3797" s="12" t="inlineStr">
        <is>
          <t>G-P-0239</t>
        </is>
      </c>
      <c r="B3797" s="12" t="inlineStr">
        <is>
          <t>G</t>
        </is>
      </c>
      <c r="C3797" s="12" t="inlineStr">
        <is>
          <t>Carbon capture</t>
        </is>
      </c>
      <c r="D3797" s="12" t="inlineStr">
        <is>
          <t>MOV 5: power</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LV|3/C+G|10</t>
        </is>
      </c>
      <c r="L3797" s="12" t="inlineStr">
        <is>
          <t>3/C+G</t>
        </is>
      </c>
      <c r="M3797" s="12" t="inlineStr">
        <is>
          <t>10</t>
        </is>
      </c>
      <c r="N3797" s="12" t="n">
        <v>1</v>
      </c>
      <c r="O3797" s="12" t="n">
        <v>1</v>
      </c>
      <c r="P3797" s="12" t="n">
        <v>480</v>
      </c>
      <c r="Q3797" s="12" t="n">
        <v>2.5</v>
      </c>
      <c r="R3797" s="12" t="n">
        <v>3.5</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0.4 %</t>
        </is>
      </c>
      <c r="AA3797" s="12">
        <f>N3797*O3797</f>
        <v/>
      </c>
    </row>
    <row r="3798">
      <c r="A3798" s="12" t="inlineStr">
        <is>
          <t>G-P-0240</t>
        </is>
      </c>
      <c r="B3798" s="12" t="inlineStr">
        <is>
          <t>G</t>
        </is>
      </c>
      <c r="C3798" s="12" t="inlineStr">
        <is>
          <t>Carbon capture</t>
        </is>
      </c>
      <c r="D3798" s="12" t="inlineStr">
        <is>
          <t>MOV 6: power</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LV|3/C+G|10</t>
        </is>
      </c>
      <c r="L3798" s="12" t="inlineStr">
        <is>
          <t>3/C+G</t>
        </is>
      </c>
      <c r="M3798" s="12" t="inlineStr">
        <is>
          <t>10</t>
        </is>
      </c>
      <c r="N3798" s="12" t="n">
        <v>1</v>
      </c>
      <c r="O3798" s="12" t="n">
        <v>1</v>
      </c>
      <c r="P3798" s="12" t="n">
        <v>480</v>
      </c>
      <c r="Q3798" s="12" t="n">
        <v>2.5</v>
      </c>
      <c r="R3798" s="12" t="n">
        <v>3.5</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0.4 %</t>
        </is>
      </c>
      <c r="AA3798" s="12">
        <f>N3798*O3798</f>
        <v/>
      </c>
    </row>
    <row r="3799">
      <c r="A3799" s="12" t="inlineStr">
        <is>
          <t>G-P-0241</t>
        </is>
      </c>
      <c r="B3799" s="12" t="inlineStr">
        <is>
          <t>G</t>
        </is>
      </c>
      <c r="C3799" s="12" t="inlineStr">
        <is>
          <t>Carbon capture</t>
        </is>
      </c>
      <c r="D3799" s="12" t="inlineStr">
        <is>
          <t>LV power feeder</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LV|3/C+G|6</t>
        </is>
      </c>
      <c r="L3799" s="12" t="inlineStr">
        <is>
          <t>3/C+G</t>
        </is>
      </c>
      <c r="M3799" s="12" t="inlineStr">
        <is>
          <t>6</t>
        </is>
      </c>
      <c r="N3799" s="12" t="n">
        <v>1</v>
      </c>
      <c r="O3799" s="12" t="n">
        <v>1</v>
      </c>
      <c r="P3799" s="12" t="n">
        <v>480</v>
      </c>
      <c r="Q3799" s="12" t="n">
        <v>30</v>
      </c>
      <c r="R3799" s="12" t="n">
        <v>42.5</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1.9 %</t>
        </is>
      </c>
      <c r="AA3799" s="12">
        <f>N3799*O3799</f>
        <v/>
      </c>
    </row>
    <row r="3800">
      <c r="A3800" s="12" t="inlineStr">
        <is>
          <t>G-P-0242</t>
        </is>
      </c>
      <c r="B3800" s="12" t="inlineStr">
        <is>
          <t>G</t>
        </is>
      </c>
      <c r="C3800" s="12" t="inlineStr">
        <is>
          <t>Carbon capture</t>
        </is>
      </c>
      <c r="D3800" s="12" t="inlineStr">
        <is>
          <t>Area / platform lighting circuit 1 (12 fixtures)</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LV|3/C+G|10</t>
        </is>
      </c>
      <c r="L3800" s="12" t="inlineStr">
        <is>
          <t>3/C+G</t>
        </is>
      </c>
      <c r="M3800" s="12" t="inlineStr">
        <is>
          <t>10</t>
        </is>
      </c>
      <c r="N3800" s="12" t="n">
        <v>1</v>
      </c>
      <c r="O3800" s="12" t="n">
        <v>1</v>
      </c>
      <c r="P3800" s="12" t="n">
        <v>480</v>
      </c>
      <c r="Q3800" s="12" t="n">
        <v>3</v>
      </c>
      <c r="R3800" s="12" t="n">
        <v>5</v>
      </c>
      <c r="S3800" s="12" t="inlineStr">
        <is>
          <t>Duct bank</t>
        </is>
      </c>
      <c r="T3800" s="15" t="n">
        <v>496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fixture-to-fixture run included</t>
        </is>
      </c>
      <c r="AA3800" s="12">
        <f>N3800*O3800</f>
        <v/>
      </c>
    </row>
    <row r="3801">
      <c r="A3801" s="12" t="inlineStr">
        <is>
          <t>G-P-0243</t>
        </is>
      </c>
      <c r="B3801" s="12" t="inlineStr">
        <is>
          <t>G</t>
        </is>
      </c>
      <c r="C3801" s="12" t="inlineStr">
        <is>
          <t>Carbon capture</t>
        </is>
      </c>
      <c r="D3801" s="12" t="inlineStr">
        <is>
          <t>Area / platform lighting circuit 2 (8 fixtures)</t>
        </is>
      </c>
      <c r="E3801" s="12" t="inlineStr"/>
      <c r="F3801" s="12" t="inlineStr">
        <is>
          <t>CCS MV switchgear building (VFDs)</t>
        </is>
      </c>
      <c r="G3801" s="12" t="inlineStr">
        <is>
          <t>STR-C</t>
        </is>
      </c>
      <c r="H3801" s="12" t="inlineStr">
        <is>
          <t>STR-C: stripper / regenerator (45 ft dia x 207 ft)</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3</v>
      </c>
      <c r="R3801" s="12" t="n">
        <v>5</v>
      </c>
      <c r="S3801" s="12" t="inlineStr">
        <is>
          <t>Duct bank</t>
        </is>
      </c>
      <c r="T3801" s="15" t="n">
        <v>496</v>
      </c>
      <c r="U3801" s="15" t="n">
        <v>36</v>
      </c>
      <c r="V3801" s="15">
        <f>ROUNDUP((T3801+U3801+2*'Read Me'!$B$13)*(1+'Read Me'!$B$12),-1)</f>
        <v/>
      </c>
      <c r="W3801" s="15">
        <f>V3801*N3801*O3801</f>
        <v/>
      </c>
      <c r="X3801" s="12">
        <f>IF(LEFT(I3801,2)="MV",2*N3801*IF(L3801="1/C",O3801,1),0)</f>
        <v/>
      </c>
      <c r="Y3801" s="12">
        <f>IF(OR(LEFT(K3801,4)="LVAX",LEFT(K3801,6)="MV15AX",LEFT(K3801,4)="CTAX",LEFT(K3801,2)="W|"),2*N3801*O3801,0)</f>
        <v/>
      </c>
      <c r="Z3801" s="12" t="inlineStr">
        <is>
          <t>fixture-to-fixture run included</t>
        </is>
      </c>
      <c r="AA3801" s="12">
        <f>N3801*O3801</f>
        <v/>
      </c>
    </row>
    <row r="3802">
      <c r="A3802" s="12" t="inlineStr">
        <is>
          <t>G-P-0244</t>
        </is>
      </c>
      <c r="B3802" s="12" t="inlineStr">
        <is>
          <t>G</t>
        </is>
      </c>
      <c r="C3802" s="12" t="inlineStr">
        <is>
          <t>Carbon capture</t>
        </is>
      </c>
      <c r="D3802" s="12" t="inlineStr">
        <is>
          <t>480 V welding receptacle 1</t>
        </is>
      </c>
      <c r="E3802" s="12" t="inlineStr"/>
      <c r="F3802" s="12" t="inlineStr">
        <is>
          <t>CCS MV switchgear building (VFDs)</t>
        </is>
      </c>
      <c r="G3802" s="12" t="inlineStr">
        <is>
          <t>STR-C</t>
        </is>
      </c>
      <c r="H3802" s="12" t="inlineStr">
        <is>
          <t>STR-C: stripper / regenerator (45 ft dia x 207 ft)</t>
        </is>
      </c>
      <c r="I3802" s="12" t="inlineStr">
        <is>
          <t>LV 600 V</t>
        </is>
      </c>
      <c r="J3802" s="12" t="inlineStr">
        <is>
          <t>Type TC-ER 600 V 3/C Cu XHHW-2 + ground, PVC jacket</t>
        </is>
      </c>
      <c r="K3802" s="12" t="inlineStr">
        <is>
          <t>LV|3/C+G|2</t>
        </is>
      </c>
      <c r="L3802" s="12" t="inlineStr">
        <is>
          <t>3/C+G</t>
        </is>
      </c>
      <c r="M3802" s="12" t="inlineStr">
        <is>
          <t>2</t>
        </is>
      </c>
      <c r="N3802" s="12" t="n">
        <v>1</v>
      </c>
      <c r="O3802" s="12" t="n">
        <v>1</v>
      </c>
      <c r="P3802" s="12" t="n">
        <v>480</v>
      </c>
      <c r="Q3802" s="12" t="n">
        <v>60</v>
      </c>
      <c r="R3802" s="12" t="n">
        <v>76</v>
      </c>
      <c r="S3802" s="12" t="inlineStr">
        <is>
          <t>Duct bank</t>
        </is>
      </c>
      <c r="T3802" s="15" t="n">
        <v>196</v>
      </c>
      <c r="U3802" s="15" t="n">
        <v>36</v>
      </c>
      <c r="V3802" s="15">
        <f>ROUNDUP((T3802+U3802+2*'Read Me'!$B$13)*(1+'Read Me'!$B$12),-1)</f>
        <v/>
      </c>
      <c r="W3802" s="15">
        <f>V3802*N3802*O3802</f>
        <v/>
      </c>
      <c r="X3802" s="12">
        <f>IF(LEFT(I3802,2)="MV",2*N3802*IF(L3802="1/C",O3802,1),0)</f>
        <v/>
      </c>
      <c r="Y3802" s="12">
        <f>IF(OR(LEFT(K3802,4)="LVAX",LEFT(K3802,6)="MV15AX",LEFT(K3802,4)="CTAX",LEFT(K3802,2)="W|"),2*N3802*O3802,0)</f>
        <v/>
      </c>
      <c r="Z3802" s="12" t="inlineStr">
        <is>
          <t>VD 1.4 %</t>
        </is>
      </c>
      <c r="AA3802" s="12">
        <f>N3802*O3802</f>
        <v/>
      </c>
    </row>
    <row r="3803">
      <c r="A3803" s="12" t="inlineStr">
        <is>
          <t>G-P-0245</t>
        </is>
      </c>
      <c r="B3803" s="12" t="inlineStr">
        <is>
          <t>G</t>
        </is>
      </c>
      <c r="C3803" s="12" t="inlineStr">
        <is>
          <t>Carbon capture</t>
        </is>
      </c>
      <c r="D3803" s="12" t="inlineStr">
        <is>
          <t>480 V welding receptacle 2</t>
        </is>
      </c>
      <c r="E3803" s="12" t="inlineStr"/>
      <c r="F3803" s="12" t="inlineStr">
        <is>
          <t>CCS MV switchgear building (VFDs)</t>
        </is>
      </c>
      <c r="G3803" s="12" t="inlineStr">
        <is>
          <t>STR-C</t>
        </is>
      </c>
      <c r="H3803" s="12" t="inlineStr">
        <is>
          <t>STR-C: stripper / regenerator (45 ft dia x 207 ft)</t>
        </is>
      </c>
      <c r="I3803" s="12" t="inlineStr">
        <is>
          <t>LV 600 V</t>
        </is>
      </c>
      <c r="J3803" s="12" t="inlineStr">
        <is>
          <t>Type TC-ER 600 V 3/C Cu XHHW-2 + ground, PVC jacket</t>
        </is>
      </c>
      <c r="K3803" s="12" t="inlineStr">
        <is>
          <t>LV|3/C+G|2</t>
        </is>
      </c>
      <c r="L3803" s="12" t="inlineStr">
        <is>
          <t>3/C+G</t>
        </is>
      </c>
      <c r="M3803" s="12" t="inlineStr">
        <is>
          <t>2</t>
        </is>
      </c>
      <c r="N3803" s="12" t="n">
        <v>1</v>
      </c>
      <c r="O3803" s="12" t="n">
        <v>1</v>
      </c>
      <c r="P3803" s="12" t="n">
        <v>480</v>
      </c>
      <c r="Q3803" s="12" t="n">
        <v>60</v>
      </c>
      <c r="R3803" s="12" t="n">
        <v>76</v>
      </c>
      <c r="S3803" s="12" t="inlineStr">
        <is>
          <t>Duct bank</t>
        </is>
      </c>
      <c r="T3803" s="15" t="n">
        <v>196</v>
      </c>
      <c r="U3803" s="15" t="n">
        <v>36</v>
      </c>
      <c r="V3803" s="15">
        <f>ROUNDUP((T3803+U3803+2*'Read Me'!$B$13)*(1+'Read Me'!$B$12),-1)</f>
        <v/>
      </c>
      <c r="W3803" s="15">
        <f>V3803*N3803*O3803</f>
        <v/>
      </c>
      <c r="X3803" s="12">
        <f>IF(LEFT(I3803,2)="MV",2*N3803*IF(L3803="1/C",O3803,1),0)</f>
        <v/>
      </c>
      <c r="Y3803" s="12">
        <f>IF(OR(LEFT(K3803,4)="LVAX",LEFT(K3803,6)="MV15AX",LEFT(K3803,4)="CTAX",LEFT(K3803,2)="W|"),2*N3803*O3803,0)</f>
        <v/>
      </c>
      <c r="Z3803" s="12" t="inlineStr">
        <is>
          <t>VD 1.4 %</t>
        </is>
      </c>
      <c r="AA3803" s="12">
        <f>N3803*O3803</f>
        <v/>
      </c>
    </row>
    <row r="3804">
      <c r="A3804" s="12" t="inlineStr">
        <is>
          <t>G-P-0246</t>
        </is>
      </c>
      <c r="B3804" s="12" t="inlineStr">
        <is>
          <t>G</t>
        </is>
      </c>
      <c r="C3804" s="12" t="inlineStr">
        <is>
          <t>Carbon capture</t>
        </is>
      </c>
      <c r="D3804" s="12" t="inlineStr">
        <is>
          <t>480 V welding receptacle 3</t>
        </is>
      </c>
      <c r="E3804" s="12" t="inlineStr"/>
      <c r="F3804" s="12" t="inlineStr">
        <is>
          <t>CCS MV switchgear building (VFDs)</t>
        </is>
      </c>
      <c r="G3804" s="12" t="inlineStr">
        <is>
          <t>STR-C</t>
        </is>
      </c>
      <c r="H3804" s="12" t="inlineStr">
        <is>
          <t>STR-C: stripper / regenerator (45 ft dia x 207 ft)</t>
        </is>
      </c>
      <c r="I3804" s="12" t="inlineStr">
        <is>
          <t>LV 600 V</t>
        </is>
      </c>
      <c r="J3804" s="12" t="inlineStr">
        <is>
          <t>Type TC-ER 600 V 3/C Cu XHHW-2 + ground, PVC jacket</t>
        </is>
      </c>
      <c r="K3804" s="12" t="inlineStr">
        <is>
          <t>LV|3/C+G|2</t>
        </is>
      </c>
      <c r="L3804" s="12" t="inlineStr">
        <is>
          <t>3/C+G</t>
        </is>
      </c>
      <c r="M3804" s="12" t="inlineStr">
        <is>
          <t>2</t>
        </is>
      </c>
      <c r="N3804" s="12" t="n">
        <v>1</v>
      </c>
      <c r="O3804" s="12" t="n">
        <v>1</v>
      </c>
      <c r="P3804" s="12" t="n">
        <v>480</v>
      </c>
      <c r="Q3804" s="12" t="n">
        <v>60</v>
      </c>
      <c r="R3804" s="12" t="n">
        <v>76</v>
      </c>
      <c r="S3804" s="12" t="inlineStr">
        <is>
          <t>Duct bank</t>
        </is>
      </c>
      <c r="T3804" s="15" t="n">
        <v>196</v>
      </c>
      <c r="U3804" s="15" t="n">
        <v>36</v>
      </c>
      <c r="V3804" s="15">
        <f>ROUNDUP((T3804+U3804+2*'Read Me'!$B$13)*(1+'Read Me'!$B$12),-1)</f>
        <v/>
      </c>
      <c r="W3804" s="15">
        <f>V3804*N3804*O3804</f>
        <v/>
      </c>
      <c r="X3804" s="12">
        <f>IF(LEFT(I3804,2)="MV",2*N3804*IF(L3804="1/C",O3804,1),0)</f>
        <v/>
      </c>
      <c r="Y3804" s="12">
        <f>IF(OR(LEFT(K3804,4)="LVAX",LEFT(K3804,6)="MV15AX",LEFT(K3804,4)="CTAX",LEFT(K3804,2)="W|"),2*N3804*O3804,0)</f>
        <v/>
      </c>
      <c r="Z3804" s="12" t="inlineStr">
        <is>
          <t>VD 1.4 %</t>
        </is>
      </c>
      <c r="AA3804" s="12">
        <f>N3804*O3804</f>
        <v/>
      </c>
    </row>
    <row r="3805">
      <c r="A3805" s="12" t="inlineStr">
        <is>
          <t>G-P-0247</t>
        </is>
      </c>
      <c r="B3805" s="12" t="inlineStr">
        <is>
          <t>G</t>
        </is>
      </c>
      <c r="C3805" s="12" t="inlineStr">
        <is>
          <t>Carbon capture</t>
        </is>
      </c>
      <c r="D3805" s="12" t="inlineStr">
        <is>
          <t>480 V welding receptacle 4</t>
        </is>
      </c>
      <c r="E3805" s="12" t="inlineStr"/>
      <c r="F3805" s="12" t="inlineStr">
        <is>
          <t>CCS MV switchgear building (VFDs)</t>
        </is>
      </c>
      <c r="G3805" s="12" t="inlineStr">
        <is>
          <t>STR-C</t>
        </is>
      </c>
      <c r="H3805" s="12" t="inlineStr">
        <is>
          <t>STR-C: stripper / regenerator (45 ft dia x 207 ft)</t>
        </is>
      </c>
      <c r="I3805" s="12" t="inlineStr">
        <is>
          <t>LV 600 V</t>
        </is>
      </c>
      <c r="J3805" s="12" t="inlineStr">
        <is>
          <t>Type TC-ER 600 V 3/C Cu XHHW-2 + ground, PVC jacket</t>
        </is>
      </c>
      <c r="K3805" s="12" t="inlineStr">
        <is>
          <t>LV|3/C+G|2</t>
        </is>
      </c>
      <c r="L3805" s="12" t="inlineStr">
        <is>
          <t>3/C+G</t>
        </is>
      </c>
      <c r="M3805" s="12" t="inlineStr">
        <is>
          <t>2</t>
        </is>
      </c>
      <c r="N3805" s="12" t="n">
        <v>1</v>
      </c>
      <c r="O3805" s="12" t="n">
        <v>1</v>
      </c>
      <c r="P3805" s="12" t="n">
        <v>480</v>
      </c>
      <c r="Q3805" s="12" t="n">
        <v>60</v>
      </c>
      <c r="R3805" s="12" t="n">
        <v>76</v>
      </c>
      <c r="S3805" s="12" t="inlineStr">
        <is>
          <t>Duct bank</t>
        </is>
      </c>
      <c r="T3805" s="15" t="n">
        <v>196</v>
      </c>
      <c r="U3805" s="15" t="n">
        <v>36</v>
      </c>
      <c r="V3805" s="15">
        <f>ROUNDUP((T3805+U3805+2*'Read Me'!$B$13)*(1+'Read Me'!$B$12),-1)</f>
        <v/>
      </c>
      <c r="W3805" s="15">
        <f>V3805*N3805*O3805</f>
        <v/>
      </c>
      <c r="X3805" s="12">
        <f>IF(LEFT(I3805,2)="MV",2*N3805*IF(L3805="1/C",O3805,1),0)</f>
        <v/>
      </c>
      <c r="Y3805" s="12">
        <f>IF(OR(LEFT(K3805,4)="LVAX",LEFT(K3805,6)="MV15AX",LEFT(K3805,4)="CTAX",LEFT(K3805,2)="W|"),2*N3805*O3805,0)</f>
        <v/>
      </c>
      <c r="Z3805" s="12" t="inlineStr">
        <is>
          <t>VD 1.4 %</t>
        </is>
      </c>
      <c r="AA3805" s="12">
        <f>N3805*O3805</f>
        <v/>
      </c>
    </row>
    <row r="3806">
      <c r="A3806" s="12" t="inlineStr">
        <is>
          <t>G-P-0248</t>
        </is>
      </c>
      <c r="B3806" s="12" t="inlineStr">
        <is>
          <t>G</t>
        </is>
      </c>
      <c r="C3806" s="12" t="inlineStr">
        <is>
          <t>Carbon capture</t>
        </is>
      </c>
      <c r="D3806" s="12" t="inlineStr">
        <is>
          <t>Motor 1 of 4, 15 kW</t>
        </is>
      </c>
      <c r="E3806" s="12" t="inlineStr"/>
      <c r="F3806" s="12" t="inlineStr">
        <is>
          <t>CCS MV switchgear building (VFDs)</t>
        </is>
      </c>
      <c r="G3806" s="12" t="inlineStr"/>
      <c r="H3806" s="12" t="inlineStr">
        <is>
          <t>Solvent + NaOH storage</t>
        </is>
      </c>
      <c r="I3806" s="12" t="inlineStr">
        <is>
          <t>LV 600 V</t>
        </is>
      </c>
      <c r="J3806" s="12" t="inlineStr">
        <is>
          <t>Type TC-ER 600 V 3/C Cu XHHW-2 + ground, PVC jacket</t>
        </is>
      </c>
      <c r="K3806" s="12" t="inlineStr">
        <is>
          <t>LV|3/C+G|10</t>
        </is>
      </c>
      <c r="L3806" s="12" t="inlineStr">
        <is>
          <t>3/C+G</t>
        </is>
      </c>
      <c r="M3806" s="12" t="inlineStr">
        <is>
          <t>10</t>
        </is>
      </c>
      <c r="N3806" s="12" t="n">
        <v>1</v>
      </c>
      <c r="O3806" s="12" t="n">
        <v>1</v>
      </c>
      <c r="P3806" s="12" t="n">
        <v>480</v>
      </c>
      <c r="Q3806" s="12" t="n">
        <v>15</v>
      </c>
      <c r="R3806" s="12" t="n">
        <v>21.2</v>
      </c>
      <c r="S3806" s="12" t="inlineStr">
        <is>
          <t>Duct bank</t>
        </is>
      </c>
      <c r="T3806" s="15" t="n">
        <v>250</v>
      </c>
      <c r="U3806" s="15" t="n">
        <v>37</v>
      </c>
      <c r="V3806" s="15">
        <f>ROUNDUP((T3806+U3806+2*'Read Me'!$B$13)*(1+'Read Me'!$B$12),-1)</f>
        <v/>
      </c>
      <c r="W3806" s="15">
        <f>V3806*N3806*O3806</f>
        <v/>
      </c>
      <c r="X3806" s="12">
        <f>IF(LEFT(I3806,2)="MV",2*N3806*IF(L3806="1/C",O3806,1),0)</f>
        <v/>
      </c>
      <c r="Y3806" s="12">
        <f>IF(OR(LEFT(K3806,4)="LVAX",LEFT(K3806,6)="MV15AX",LEFT(K3806,4)="CTAX",LEFT(K3806,2)="W|"),2*N3806*O3806,0)</f>
        <v/>
      </c>
      <c r="Z3806" s="12" t="inlineStr">
        <is>
          <t>VD 2.9 %</t>
        </is>
      </c>
      <c r="AA3806" s="12">
        <f>N3806*O3806</f>
        <v/>
      </c>
    </row>
    <row r="3807">
      <c r="A3807" s="12" t="inlineStr">
        <is>
          <t>G-P-0249</t>
        </is>
      </c>
      <c r="B3807" s="12" t="inlineStr">
        <is>
          <t>G</t>
        </is>
      </c>
      <c r="C3807" s="12" t="inlineStr">
        <is>
          <t>Carbon capture</t>
        </is>
      </c>
      <c r="D3807" s="12" t="inlineStr">
        <is>
          <t>Motor 2 of 4, 15 kW</t>
        </is>
      </c>
      <c r="E3807" s="12" t="inlineStr"/>
      <c r="F3807" s="12" t="inlineStr">
        <is>
          <t>CCS MV switchgear building (VFDs)</t>
        </is>
      </c>
      <c r="G3807" s="12" t="inlineStr"/>
      <c r="H3807" s="12" t="inlineStr">
        <is>
          <t>Solvent + NaOH storage</t>
        </is>
      </c>
      <c r="I3807" s="12" t="inlineStr">
        <is>
          <t>LV 600 V</t>
        </is>
      </c>
      <c r="J3807" s="12" t="inlineStr">
        <is>
          <t>Type TC-ER 600 V 3/C Cu XHHW-2 + ground, PVC jacket</t>
        </is>
      </c>
      <c r="K3807" s="12" t="inlineStr">
        <is>
          <t>LV|3/C+G|10</t>
        </is>
      </c>
      <c r="L3807" s="12" t="inlineStr">
        <is>
          <t>3/C+G</t>
        </is>
      </c>
      <c r="M3807" s="12" t="inlineStr">
        <is>
          <t>10</t>
        </is>
      </c>
      <c r="N3807" s="12" t="n">
        <v>1</v>
      </c>
      <c r="O3807" s="12" t="n">
        <v>1</v>
      </c>
      <c r="P3807" s="12" t="n">
        <v>480</v>
      </c>
      <c r="Q3807" s="12" t="n">
        <v>15</v>
      </c>
      <c r="R3807" s="12" t="n">
        <v>21.2</v>
      </c>
      <c r="S3807" s="12" t="inlineStr">
        <is>
          <t>Duct bank</t>
        </is>
      </c>
      <c r="T3807" s="15" t="n">
        <v>250</v>
      </c>
      <c r="U3807" s="15" t="n">
        <v>37</v>
      </c>
      <c r="V3807" s="15">
        <f>ROUNDUP((T3807+U3807+2*'Read Me'!$B$13)*(1+'Read Me'!$B$12),-1)</f>
        <v/>
      </c>
      <c r="W3807" s="15">
        <f>V3807*N3807*O3807</f>
        <v/>
      </c>
      <c r="X3807" s="12">
        <f>IF(LEFT(I3807,2)="MV",2*N3807*IF(L3807="1/C",O3807,1),0)</f>
        <v/>
      </c>
      <c r="Y3807" s="12">
        <f>IF(OR(LEFT(K3807,4)="LVAX",LEFT(K3807,6)="MV15AX",LEFT(K3807,4)="CTAX",LEFT(K3807,2)="W|"),2*N3807*O3807,0)</f>
        <v/>
      </c>
      <c r="Z3807" s="12" t="inlineStr">
        <is>
          <t>VD 2.9 %</t>
        </is>
      </c>
      <c r="AA3807" s="12">
        <f>N3807*O3807</f>
        <v/>
      </c>
    </row>
    <row r="3808">
      <c r="A3808" s="12" t="inlineStr">
        <is>
          <t>G-P-0250</t>
        </is>
      </c>
      <c r="B3808" s="12" t="inlineStr">
        <is>
          <t>G</t>
        </is>
      </c>
      <c r="C3808" s="12" t="inlineStr">
        <is>
          <t>Carbon capture</t>
        </is>
      </c>
      <c r="D3808" s="12" t="inlineStr">
        <is>
          <t>Motor 3 of 4, 15 kW</t>
        </is>
      </c>
      <c r="E3808" s="12" t="inlineStr"/>
      <c r="F3808" s="12" t="inlineStr">
        <is>
          <t>CCS MV switchgear building (VFDs)</t>
        </is>
      </c>
      <c r="G3808" s="12" t="inlineStr"/>
      <c r="H3808" s="12" t="inlineStr">
        <is>
          <t>Solvent + NaOH storage</t>
        </is>
      </c>
      <c r="I3808" s="12" t="inlineStr">
        <is>
          <t>LV 600 V</t>
        </is>
      </c>
      <c r="J3808" s="12" t="inlineStr">
        <is>
          <t>Type TC-ER 600 V 3/C Cu XHHW-2 + ground, PVC jacket</t>
        </is>
      </c>
      <c r="K3808" s="12" t="inlineStr">
        <is>
          <t>LV|3/C+G|10</t>
        </is>
      </c>
      <c r="L3808" s="12" t="inlineStr">
        <is>
          <t>3/C+G</t>
        </is>
      </c>
      <c r="M3808" s="12" t="inlineStr">
        <is>
          <t>10</t>
        </is>
      </c>
      <c r="N3808" s="12" t="n">
        <v>1</v>
      </c>
      <c r="O3808" s="12" t="n">
        <v>1</v>
      </c>
      <c r="P3808" s="12" t="n">
        <v>480</v>
      </c>
      <c r="Q3808" s="12" t="n">
        <v>15</v>
      </c>
      <c r="R3808" s="12" t="n">
        <v>21.2</v>
      </c>
      <c r="S3808" s="12" t="inlineStr">
        <is>
          <t>Duct bank</t>
        </is>
      </c>
      <c r="T3808" s="15" t="n">
        <v>250</v>
      </c>
      <c r="U3808" s="15" t="n">
        <v>37</v>
      </c>
      <c r="V3808" s="15">
        <f>ROUNDUP((T3808+U3808+2*'Read Me'!$B$13)*(1+'Read Me'!$B$12),-1)</f>
        <v/>
      </c>
      <c r="W3808" s="15">
        <f>V3808*N3808*O3808</f>
        <v/>
      </c>
      <c r="X3808" s="12">
        <f>IF(LEFT(I3808,2)="MV",2*N3808*IF(L3808="1/C",O3808,1),0)</f>
        <v/>
      </c>
      <c r="Y3808" s="12">
        <f>IF(OR(LEFT(K3808,4)="LVAX",LEFT(K3808,6)="MV15AX",LEFT(K3808,4)="CTAX",LEFT(K3808,2)="W|"),2*N3808*O3808,0)</f>
        <v/>
      </c>
      <c r="Z3808" s="12" t="inlineStr">
        <is>
          <t>VD 2.9 %</t>
        </is>
      </c>
      <c r="AA3808" s="12">
        <f>N3808*O3808</f>
        <v/>
      </c>
    </row>
    <row r="3809">
      <c r="A3809" s="12" t="inlineStr">
        <is>
          <t>G-P-0251</t>
        </is>
      </c>
      <c r="B3809" s="12" t="inlineStr">
        <is>
          <t>G</t>
        </is>
      </c>
      <c r="C3809" s="12" t="inlineStr">
        <is>
          <t>Carbon capture</t>
        </is>
      </c>
      <c r="D3809" s="12" t="inlineStr">
        <is>
          <t>Motor 4 of 4, 15 kW</t>
        </is>
      </c>
      <c r="E3809" s="12" t="inlineStr"/>
      <c r="F3809" s="12" t="inlineStr">
        <is>
          <t>CCS MV switchgear building (VFDs)</t>
        </is>
      </c>
      <c r="G3809" s="12" t="inlineStr"/>
      <c r="H3809" s="12" t="inlineStr">
        <is>
          <t>Solvent + NaOH storage</t>
        </is>
      </c>
      <c r="I3809" s="12" t="inlineStr">
        <is>
          <t>LV 600 V</t>
        </is>
      </c>
      <c r="J3809" s="12" t="inlineStr">
        <is>
          <t>Type TC-ER 600 V 3/C Cu XHHW-2 + ground, PVC jacket</t>
        </is>
      </c>
      <c r="K3809" s="12" t="inlineStr">
        <is>
          <t>LV|3/C+G|10</t>
        </is>
      </c>
      <c r="L3809" s="12" t="inlineStr">
        <is>
          <t>3/C+G</t>
        </is>
      </c>
      <c r="M3809" s="12" t="inlineStr">
        <is>
          <t>10</t>
        </is>
      </c>
      <c r="N3809" s="12" t="n">
        <v>1</v>
      </c>
      <c r="O3809" s="12" t="n">
        <v>1</v>
      </c>
      <c r="P3809" s="12" t="n">
        <v>480</v>
      </c>
      <c r="Q3809" s="12" t="n">
        <v>15</v>
      </c>
      <c r="R3809" s="12" t="n">
        <v>21.2</v>
      </c>
      <c r="S3809" s="12" t="inlineStr">
        <is>
          <t>Duct bank</t>
        </is>
      </c>
      <c r="T3809" s="15" t="n">
        <v>250</v>
      </c>
      <c r="U3809" s="15" t="n">
        <v>37</v>
      </c>
      <c r="V3809" s="15">
        <f>ROUNDUP((T3809+U3809+2*'Read Me'!$B$13)*(1+'Read Me'!$B$12),-1)</f>
        <v/>
      </c>
      <c r="W3809" s="15">
        <f>V3809*N3809*O3809</f>
        <v/>
      </c>
      <c r="X3809" s="12">
        <f>IF(LEFT(I3809,2)="MV",2*N3809*IF(L3809="1/C",O3809,1),0)</f>
        <v/>
      </c>
      <c r="Y3809" s="12">
        <f>IF(OR(LEFT(K3809,4)="LVAX",LEFT(K3809,6)="MV15AX",LEFT(K3809,4)="CTAX",LEFT(K3809,2)="W|"),2*N3809*O3809,0)</f>
        <v/>
      </c>
      <c r="Z3809" s="12" t="inlineStr">
        <is>
          <t>VD 2.9 %</t>
        </is>
      </c>
      <c r="AA3809" s="12">
        <f>N3809*O3809</f>
        <v/>
      </c>
    </row>
    <row r="3810">
      <c r="A3810" s="12" t="inlineStr">
        <is>
          <t>G-P-0252</t>
        </is>
      </c>
      <c r="B3810" s="12" t="inlineStr">
        <is>
          <t>G</t>
        </is>
      </c>
      <c r="C3810" s="12" t="inlineStr">
        <is>
          <t>Carbon capture</t>
        </is>
      </c>
      <c r="D3810" s="12" t="inlineStr">
        <is>
          <t>Motor 1 of 2, 110 kW</t>
        </is>
      </c>
      <c r="E3810" s="12" t="inlineStr"/>
      <c r="F3810" s="12" t="inlineStr">
        <is>
          <t>CCS MV switchgear building (VFDs)</t>
        </is>
      </c>
      <c r="G3810" s="12" t="inlineStr"/>
      <c r="H3810" s="12" t="inlineStr">
        <is>
          <t>Water-wash pumps A</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465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2.7 %</t>
        </is>
      </c>
      <c r="AA3810" s="12">
        <f>N3810*O3810</f>
        <v/>
      </c>
    </row>
    <row r="3811">
      <c r="A3811" s="12" t="inlineStr">
        <is>
          <t>G-P-0253</t>
        </is>
      </c>
      <c r="B3811" s="12" t="inlineStr">
        <is>
          <t>G</t>
        </is>
      </c>
      <c r="C3811" s="12" t="inlineStr">
        <is>
          <t>Carbon capture</t>
        </is>
      </c>
      <c r="D3811" s="12" t="inlineStr">
        <is>
          <t>Motor 2 of 2, 110 kW</t>
        </is>
      </c>
      <c r="E3811" s="12" t="inlineStr"/>
      <c r="F3811" s="12" t="inlineStr">
        <is>
          <t>CCS MV switchgear building (VFDs)</t>
        </is>
      </c>
      <c r="G3811" s="12" t="inlineStr"/>
      <c r="H3811" s="12" t="inlineStr">
        <is>
          <t>Water-wash pumps A</t>
        </is>
      </c>
      <c r="I3811" s="12" t="inlineStr">
        <is>
          <t>LV 600 V</t>
        </is>
      </c>
      <c r="J3811" s="12" t="inlineStr">
        <is>
          <t>Type TC-ER 600 V 3/C Cu XHHW-2 + ground, PVC jacket</t>
        </is>
      </c>
      <c r="K3811" s="12" t="inlineStr">
        <is>
          <t>LV|3/C+G|3/0</t>
        </is>
      </c>
      <c r="L3811" s="12" t="inlineStr">
        <is>
          <t>3/C+G</t>
        </is>
      </c>
      <c r="M3811" s="12" t="inlineStr">
        <is>
          <t>3/0</t>
        </is>
      </c>
      <c r="N3811" s="12" t="n">
        <v>1</v>
      </c>
      <c r="O3811" s="12" t="n">
        <v>1</v>
      </c>
      <c r="P3811" s="12" t="n">
        <v>480</v>
      </c>
      <c r="Q3811" s="12" t="n">
        <v>110</v>
      </c>
      <c r="R3811" s="12" t="n">
        <v>155.7</v>
      </c>
      <c r="S3811" s="12" t="inlineStr">
        <is>
          <t>Tray</t>
        </is>
      </c>
      <c r="T3811" s="15" t="n">
        <v>465</v>
      </c>
      <c r="U3811" s="15" t="n">
        <v>96</v>
      </c>
      <c r="V3811" s="15">
        <f>ROUNDUP((T3811+U3811+2*'Read Me'!$B$13)*(1+'Read Me'!$B$12),-1)</f>
        <v/>
      </c>
      <c r="W3811" s="15">
        <f>V3811*N3811*O3811</f>
        <v/>
      </c>
      <c r="X3811" s="12">
        <f>IF(LEFT(I3811,2)="MV",2*N3811*IF(L3811="1/C",O3811,1),0)</f>
        <v/>
      </c>
      <c r="Y3811" s="12">
        <f>IF(OR(LEFT(K3811,4)="LVAX",LEFT(K3811,6)="MV15AX",LEFT(K3811,4)="CTAX",LEFT(K3811,2)="W|"),2*N3811*O3811,0)</f>
        <v/>
      </c>
      <c r="Z3811" s="12" t="inlineStr">
        <is>
          <t>VD 2.7 %</t>
        </is>
      </c>
      <c r="AA3811" s="12">
        <f>N3811*O3811</f>
        <v/>
      </c>
    </row>
    <row r="3812">
      <c r="A3812" s="12" t="inlineStr">
        <is>
          <t>G-P-0254</t>
        </is>
      </c>
      <c r="B3812" s="12" t="inlineStr">
        <is>
          <t>G</t>
        </is>
      </c>
      <c r="C3812" s="12" t="inlineStr">
        <is>
          <t>Carbon capture</t>
        </is>
      </c>
      <c r="D3812" s="12" t="inlineStr">
        <is>
          <t>Motor 1 of 2, 110 kW</t>
        </is>
      </c>
      <c r="E3812" s="12" t="inlineStr"/>
      <c r="F3812" s="12" t="inlineStr">
        <is>
          <t>CCS MV switchgear building (VFDs)</t>
        </is>
      </c>
      <c r="G3812" s="12" t="inlineStr"/>
      <c r="H3812" s="12" t="inlineStr">
        <is>
          <t>Water-wash pumps B</t>
        </is>
      </c>
      <c r="I3812" s="12" t="inlineStr">
        <is>
          <t>LV 600 V</t>
        </is>
      </c>
      <c r="J3812" s="12" t="inlineStr">
        <is>
          <t>Type TC-ER 600 V 3/C Cu XHHW-2 + ground, PVC jacket</t>
        </is>
      </c>
      <c r="K3812" s="12" t="inlineStr">
        <is>
          <t>LV|3/C+G|3/0</t>
        </is>
      </c>
      <c r="L3812" s="12" t="inlineStr">
        <is>
          <t>3/C+G</t>
        </is>
      </c>
      <c r="M3812" s="12" t="inlineStr">
        <is>
          <t>3/0</t>
        </is>
      </c>
      <c r="N3812" s="12" t="n">
        <v>1</v>
      </c>
      <c r="O3812" s="12" t="n">
        <v>1</v>
      </c>
      <c r="P3812" s="12" t="n">
        <v>480</v>
      </c>
      <c r="Q3812" s="12" t="n">
        <v>110</v>
      </c>
      <c r="R3812" s="12" t="n">
        <v>155.7</v>
      </c>
      <c r="S3812" s="12" t="inlineStr">
        <is>
          <t>Tray</t>
        </is>
      </c>
      <c r="T3812" s="15" t="n">
        <v>305</v>
      </c>
      <c r="U3812" s="15" t="n">
        <v>96</v>
      </c>
      <c r="V3812" s="15">
        <f>ROUNDUP((T3812+U3812+2*'Read Me'!$B$13)*(1+'Read Me'!$B$12),-1)</f>
        <v/>
      </c>
      <c r="W3812" s="15">
        <f>V3812*N3812*O3812</f>
        <v/>
      </c>
      <c r="X3812" s="12">
        <f>IF(LEFT(I3812,2)="MV",2*N3812*IF(L3812="1/C",O3812,1),0)</f>
        <v/>
      </c>
      <c r="Y3812" s="12">
        <f>IF(OR(LEFT(K3812,4)="LVAX",LEFT(K3812,6)="MV15AX",LEFT(K3812,4)="CTAX",LEFT(K3812,2)="W|"),2*N3812*O3812,0)</f>
        <v/>
      </c>
      <c r="Z3812" s="12" t="inlineStr">
        <is>
          <t>VD 1.9 %</t>
        </is>
      </c>
      <c r="AA3812" s="12">
        <f>N3812*O3812</f>
        <v/>
      </c>
    </row>
    <row r="3813">
      <c r="A3813" s="12" t="inlineStr">
        <is>
          <t>G-P-0255</t>
        </is>
      </c>
      <c r="B3813" s="12" t="inlineStr">
        <is>
          <t>G</t>
        </is>
      </c>
      <c r="C3813" s="12" t="inlineStr">
        <is>
          <t>Carbon capture</t>
        </is>
      </c>
      <c r="D3813" s="12" t="inlineStr">
        <is>
          <t>Motor 2 of 2, 110 kW</t>
        </is>
      </c>
      <c r="E3813" s="12" t="inlineStr"/>
      <c r="F3813" s="12" t="inlineStr">
        <is>
          <t>CCS MV switchgear building (VFDs)</t>
        </is>
      </c>
      <c r="G3813" s="12" t="inlineStr"/>
      <c r="H3813" s="12" t="inlineStr">
        <is>
          <t>Water-wash pumps B</t>
        </is>
      </c>
      <c r="I3813" s="12" t="inlineStr">
        <is>
          <t>LV 600 V</t>
        </is>
      </c>
      <c r="J3813" s="12" t="inlineStr">
        <is>
          <t>Type TC-ER 600 V 3/C Cu XHHW-2 + ground, PVC jacket</t>
        </is>
      </c>
      <c r="K3813" s="12" t="inlineStr">
        <is>
          <t>LV|3/C+G|3/0</t>
        </is>
      </c>
      <c r="L3813" s="12" t="inlineStr">
        <is>
          <t>3/C+G</t>
        </is>
      </c>
      <c r="M3813" s="12" t="inlineStr">
        <is>
          <t>3/0</t>
        </is>
      </c>
      <c r="N3813" s="12" t="n">
        <v>1</v>
      </c>
      <c r="O3813" s="12" t="n">
        <v>1</v>
      </c>
      <c r="P3813" s="12" t="n">
        <v>480</v>
      </c>
      <c r="Q3813" s="12" t="n">
        <v>110</v>
      </c>
      <c r="R3813" s="12" t="n">
        <v>155.7</v>
      </c>
      <c r="S3813" s="12" t="inlineStr">
        <is>
          <t>Tray</t>
        </is>
      </c>
      <c r="T3813" s="15" t="n">
        <v>305</v>
      </c>
      <c r="U3813" s="15" t="n">
        <v>96</v>
      </c>
      <c r="V3813" s="15">
        <f>ROUNDUP((T3813+U3813+2*'Read Me'!$B$13)*(1+'Read Me'!$B$12),-1)</f>
        <v/>
      </c>
      <c r="W3813" s="15">
        <f>V3813*N3813*O3813</f>
        <v/>
      </c>
      <c r="X3813" s="12">
        <f>IF(LEFT(I3813,2)="MV",2*N3813*IF(L3813="1/C",O3813,1),0)</f>
        <v/>
      </c>
      <c r="Y3813" s="12">
        <f>IF(OR(LEFT(K3813,4)="LVAX",LEFT(K3813,6)="MV15AX",LEFT(K3813,4)="CTAX",LEFT(K3813,2)="W|"),2*N3813*O3813,0)</f>
        <v/>
      </c>
      <c r="Z3813" s="12" t="inlineStr">
        <is>
          <t>VD 1.9 %</t>
        </is>
      </c>
      <c r="AA3813" s="12">
        <f>N3813*O3813</f>
        <v/>
      </c>
    </row>
    <row r="3814">
      <c r="A3814" s="12" t="inlineStr">
        <is>
          <t>G-P-0256</t>
        </is>
      </c>
      <c r="B3814" s="12" t="inlineStr">
        <is>
          <t>G</t>
        </is>
      </c>
      <c r="C3814" s="12" t="inlineStr">
        <is>
          <t>Carbon capture</t>
        </is>
      </c>
      <c r="D3814" s="12" t="inlineStr">
        <is>
          <t>Motor 1 of 2, 110 kW</t>
        </is>
      </c>
      <c r="E3814" s="12" t="inlineStr"/>
      <c r="F3814" s="12" t="inlineStr">
        <is>
          <t>CCS MV switchgear building (VFDs)</t>
        </is>
      </c>
      <c r="G3814" s="12" t="inlineStr"/>
      <c r="H3814" s="12" t="inlineStr">
        <is>
          <t>Water-wash pumps C</t>
        </is>
      </c>
      <c r="I3814" s="12" t="inlineStr">
        <is>
          <t>LV 600 V</t>
        </is>
      </c>
      <c r="J3814" s="12" t="inlineStr">
        <is>
          <t>Type TC-ER 600 V 3/C Cu XHHW-2 + ground, PVC jacket</t>
        </is>
      </c>
      <c r="K3814" s="12" t="inlineStr">
        <is>
          <t>LV|3/C+G|3/0</t>
        </is>
      </c>
      <c r="L3814" s="12" t="inlineStr">
        <is>
          <t>3/C+G</t>
        </is>
      </c>
      <c r="M3814" s="12" t="inlineStr">
        <is>
          <t>3/0</t>
        </is>
      </c>
      <c r="N3814" s="12" t="n">
        <v>1</v>
      </c>
      <c r="O3814" s="12" t="n">
        <v>1</v>
      </c>
      <c r="P3814" s="12" t="n">
        <v>480</v>
      </c>
      <c r="Q3814" s="12" t="n">
        <v>110</v>
      </c>
      <c r="R3814" s="12" t="n">
        <v>155.7</v>
      </c>
      <c r="S3814" s="12" t="inlineStr">
        <is>
          <t>Tray</t>
        </is>
      </c>
      <c r="T3814" s="15" t="n">
        <v>145</v>
      </c>
      <c r="U3814" s="15" t="n">
        <v>96</v>
      </c>
      <c r="V3814" s="15">
        <f>ROUNDUP((T3814+U3814+2*'Read Me'!$B$13)*(1+'Read Me'!$B$12),-1)</f>
        <v/>
      </c>
      <c r="W3814" s="15">
        <f>V3814*N3814*O3814</f>
        <v/>
      </c>
      <c r="X3814" s="12">
        <f>IF(LEFT(I3814,2)="MV",2*N3814*IF(L3814="1/C",O3814,1),0)</f>
        <v/>
      </c>
      <c r="Y3814" s="12">
        <f>IF(OR(LEFT(K3814,4)="LVAX",LEFT(K3814,6)="MV15AX",LEFT(K3814,4)="CTAX",LEFT(K3814,2)="W|"),2*N3814*O3814,0)</f>
        <v/>
      </c>
      <c r="Z3814" s="12" t="inlineStr">
        <is>
          <t>VD 1.1 %</t>
        </is>
      </c>
      <c r="AA3814" s="12">
        <f>N3814*O3814</f>
        <v/>
      </c>
    </row>
    <row r="3815">
      <c r="A3815" s="12" t="inlineStr">
        <is>
          <t>G-P-0257</t>
        </is>
      </c>
      <c r="B3815" s="12" t="inlineStr">
        <is>
          <t>G</t>
        </is>
      </c>
      <c r="C3815" s="12" t="inlineStr">
        <is>
          <t>Carbon capture</t>
        </is>
      </c>
      <c r="D3815" s="12" t="inlineStr">
        <is>
          <t>Motor 2 of 2, 110 kW</t>
        </is>
      </c>
      <c r="E3815" s="12" t="inlineStr"/>
      <c r="F3815" s="12" t="inlineStr">
        <is>
          <t>CCS MV switchgear building (VFDs)</t>
        </is>
      </c>
      <c r="G3815" s="12" t="inlineStr"/>
      <c r="H3815" s="12" t="inlineStr">
        <is>
          <t>Water-wash pumps C</t>
        </is>
      </c>
      <c r="I3815" s="12" t="inlineStr">
        <is>
          <t>LV 600 V</t>
        </is>
      </c>
      <c r="J3815" s="12" t="inlineStr">
        <is>
          <t>Type TC-ER 600 V 3/C Cu XHHW-2 + ground, PVC jacket</t>
        </is>
      </c>
      <c r="K3815" s="12" t="inlineStr">
        <is>
          <t>LV|3/C+G|3/0</t>
        </is>
      </c>
      <c r="L3815" s="12" t="inlineStr">
        <is>
          <t>3/C+G</t>
        </is>
      </c>
      <c r="M3815" s="12" t="inlineStr">
        <is>
          <t>3/0</t>
        </is>
      </c>
      <c r="N3815" s="12" t="n">
        <v>1</v>
      </c>
      <c r="O3815" s="12" t="n">
        <v>1</v>
      </c>
      <c r="P3815" s="12" t="n">
        <v>480</v>
      </c>
      <c r="Q3815" s="12" t="n">
        <v>110</v>
      </c>
      <c r="R3815" s="12" t="n">
        <v>155.7</v>
      </c>
      <c r="S3815" s="12" t="inlineStr">
        <is>
          <t>Tray</t>
        </is>
      </c>
      <c r="T3815" s="15" t="n">
        <v>145</v>
      </c>
      <c r="U3815" s="15" t="n">
        <v>96</v>
      </c>
      <c r="V3815" s="15">
        <f>ROUNDUP((T3815+U3815+2*'Read Me'!$B$13)*(1+'Read Me'!$B$12),-1)</f>
        <v/>
      </c>
      <c r="W3815" s="15">
        <f>V3815*N3815*O3815</f>
        <v/>
      </c>
      <c r="X3815" s="12">
        <f>IF(LEFT(I3815,2)="MV",2*N3815*IF(L3815="1/C",O3815,1),0)</f>
        <v/>
      </c>
      <c r="Y3815" s="12">
        <f>IF(OR(LEFT(K3815,4)="LVAX",LEFT(K3815,6)="MV15AX",LEFT(K3815,4)="CTAX",LEFT(K3815,2)="W|"),2*N3815*O3815,0)</f>
        <v/>
      </c>
      <c r="Z3815" s="12" t="inlineStr">
        <is>
          <t>VD 1.1 %</t>
        </is>
      </c>
      <c r="AA3815" s="12">
        <f>N3815*O3815</f>
        <v/>
      </c>
    </row>
    <row r="3816">
      <c r="A3816" s="12" t="inlineStr">
        <is>
          <t>G-MV-0001</t>
        </is>
      </c>
      <c r="B3816" s="12" t="inlineStr">
        <is>
          <t>G</t>
        </is>
      </c>
      <c r="C3816" s="12" t="inlineStr">
        <is>
          <t>Carbon capture</t>
        </is>
      </c>
      <c r="D3816" s="12" t="inlineStr">
        <is>
          <t>Booster fan BF-A (MV VFD output)</t>
        </is>
      </c>
      <c r="E3816" s="12" t="inlineStr"/>
      <c r="F3816" s="12" t="inlineStr">
        <is>
          <t>CCS MV switchgear building (VFDs)</t>
        </is>
      </c>
      <c r="G3816" s="12" t="inlineStr">
        <is>
          <t>BF-A</t>
        </is>
      </c>
      <c r="H3816" s="12" t="inlineStr">
        <is>
          <t>BF-A: booster fan (~16 MW)</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16000</v>
      </c>
      <c r="R3816" s="12" t="n">
        <v>744</v>
      </c>
      <c r="S3816" s="12" t="inlineStr">
        <is>
          <t>Duct bank</t>
        </is>
      </c>
      <c r="T3816" s="15" t="n">
        <v>460</v>
      </c>
      <c r="U3816" s="15" t="n">
        <v>32</v>
      </c>
      <c r="V3816" s="15">
        <f>ROUNDUP((T3816+U3816+2*'Read Me'!$B$13)*(1+'Read Me'!$B$12),-1)</f>
        <v/>
      </c>
      <c r="W3816" s="15">
        <f>V3816*N3816*O3816</f>
        <v/>
      </c>
      <c r="X3816" s="12">
        <f>IF(LEFT(I3816,2)="MV",2*N3816*IF(L3816="1/C",O3816,1),0)</f>
        <v/>
      </c>
      <c r="Y3816" s="12">
        <f>IF(OR(LEFT(K3816,4)="LVAX",LEFT(K3816,6)="MV15AX",LEFT(K3816,4)="CTAX",LEFT(K3816,2)="W|"),2*N3816*O3816,0)</f>
        <v/>
      </c>
      <c r="Z3816" s="12" t="inlineStr">
        <is>
          <t>~16 MW per drawing</t>
        </is>
      </c>
      <c r="AA3816" s="12">
        <f>N3816*O3816</f>
        <v/>
      </c>
    </row>
    <row r="3817">
      <c r="A3817" s="12" t="inlineStr">
        <is>
          <t>G-MV-0002</t>
        </is>
      </c>
      <c r="B3817" s="12" t="inlineStr">
        <is>
          <t>G</t>
        </is>
      </c>
      <c r="C3817" s="12" t="inlineStr">
        <is>
          <t>Carbon capture</t>
        </is>
      </c>
      <c r="D3817" s="12" t="inlineStr">
        <is>
          <t>Booster fan BF-B (MV VFD output)</t>
        </is>
      </c>
      <c r="E3817" s="12" t="inlineStr"/>
      <c r="F3817" s="12" t="inlineStr">
        <is>
          <t>CCS MV switchgear building (VFDs)</t>
        </is>
      </c>
      <c r="G3817" s="12" t="inlineStr">
        <is>
          <t>BF-B</t>
        </is>
      </c>
      <c r="H3817" s="12" t="inlineStr">
        <is>
          <t>BF-B: booster fan (~16 MW)</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16000</v>
      </c>
      <c r="R3817" s="12" t="n">
        <v>744</v>
      </c>
      <c r="S3817" s="12" t="inlineStr">
        <is>
          <t>Duct bank</t>
        </is>
      </c>
      <c r="T3817" s="15" t="n">
        <v>300</v>
      </c>
      <c r="U3817" s="15" t="n">
        <v>32</v>
      </c>
      <c r="V3817" s="15">
        <f>ROUNDUP((T3817+U3817+2*'Read Me'!$B$13)*(1+'Read Me'!$B$12),-1)</f>
        <v/>
      </c>
      <c r="W3817" s="15">
        <f>V3817*N3817*O3817</f>
        <v/>
      </c>
      <c r="X3817" s="12">
        <f>IF(LEFT(I3817,2)="MV",2*N3817*IF(L3817="1/C",O3817,1),0)</f>
        <v/>
      </c>
      <c r="Y3817" s="12">
        <f>IF(OR(LEFT(K3817,4)="LVAX",LEFT(K3817,6)="MV15AX",LEFT(K3817,4)="CTAX",LEFT(K3817,2)="W|"),2*N3817*O3817,0)</f>
        <v/>
      </c>
      <c r="Z3817" s="12" t="inlineStr">
        <is>
          <t>~16 MW per drawing</t>
        </is>
      </c>
      <c r="AA3817" s="12">
        <f>N3817*O3817</f>
        <v/>
      </c>
    </row>
    <row r="3818">
      <c r="A3818" s="12" t="inlineStr">
        <is>
          <t>G-MV-0003</t>
        </is>
      </c>
      <c r="B3818" s="12" t="inlineStr">
        <is>
          <t>G</t>
        </is>
      </c>
      <c r="C3818" s="12" t="inlineStr">
        <is>
          <t>Carbon capture</t>
        </is>
      </c>
      <c r="D3818" s="12" t="inlineStr">
        <is>
          <t>Booster fan BF-C (MV VFD output)</t>
        </is>
      </c>
      <c r="E3818" s="12" t="inlineStr"/>
      <c r="F3818" s="12" t="inlineStr">
        <is>
          <t>CCS MV switchgear building (VFDs)</t>
        </is>
      </c>
      <c r="G3818" s="12" t="inlineStr">
        <is>
          <t>BF-C</t>
        </is>
      </c>
      <c r="H3818" s="12" t="inlineStr">
        <is>
          <t>BF-C: booster fan (~16 MW)</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16000</v>
      </c>
      <c r="R3818" s="12" t="n">
        <v>744</v>
      </c>
      <c r="S3818" s="12" t="inlineStr">
        <is>
          <t>Tray</t>
        </is>
      </c>
      <c r="T3818" s="15" t="n">
        <v>16</v>
      </c>
      <c r="U3818" s="15" t="n">
        <v>150</v>
      </c>
      <c r="V3818" s="15">
        <f>ROUNDUP((T3818+U3818+2*'Read Me'!$B$13)*(1+'Read Me'!$B$12),-1)</f>
        <v/>
      </c>
      <c r="W3818" s="15">
        <f>V3818*N3818*O3818</f>
        <v/>
      </c>
      <c r="X3818" s="12">
        <f>IF(LEFT(I3818,2)="MV",2*N3818*IF(L3818="1/C",O3818,1),0)</f>
        <v/>
      </c>
      <c r="Y3818" s="12">
        <f>IF(OR(LEFT(K3818,4)="LVAX",LEFT(K3818,6)="MV15AX",LEFT(K3818,4)="CTAX",LEFT(K3818,2)="W|"),2*N3818*O3818,0)</f>
        <v/>
      </c>
      <c r="Z3818" s="12" t="inlineStr">
        <is>
          <t>~16 MW per drawing</t>
        </is>
      </c>
      <c r="AA3818" s="12">
        <f>N3818*O3818</f>
        <v/>
      </c>
    </row>
    <row r="3819">
      <c r="A3819" s="12" t="inlineStr">
        <is>
          <t>G-MV-0004</t>
        </is>
      </c>
      <c r="B3819" s="12" t="inlineStr">
        <is>
          <t>G</t>
        </is>
      </c>
      <c r="C3819" s="12" t="inlineStr">
        <is>
          <t>Carbon capture</t>
        </is>
      </c>
      <c r="D3819" s="12" t="inlineStr">
        <is>
          <t>CCS T-1 secondary to CCS 13.8 kV switchgear</t>
        </is>
      </c>
      <c r="E3819" s="12" t="inlineStr">
        <is>
          <t>CCS T-1</t>
        </is>
      </c>
      <c r="F3819" s="12" t="inlineStr">
        <is>
          <t>CCS T-1: 230/13.8 kV</t>
        </is>
      </c>
      <c r="G3819" s="12" t="inlineStr"/>
      <c r="H3819" s="12" t="inlineStr">
        <is>
          <t>CCS MV switchgear building (VFDs)</t>
        </is>
      </c>
      <c r="I3819" s="12" t="inlineStr">
        <is>
          <t>MV 15 kV</t>
        </is>
      </c>
      <c r="J3819" s="12" t="inlineStr">
        <is>
          <t>MV-105 15 kV 1/C Cu, EPR 133%, Cu tape shield, PVC jacket (triplexed)</t>
        </is>
      </c>
      <c r="K3819" s="12" t="inlineStr">
        <is>
          <t>MV15|1/C|1000</t>
        </is>
      </c>
      <c r="L3819" s="12" t="inlineStr">
        <is>
          <t>1/C</t>
        </is>
      </c>
      <c r="M3819" s="12" t="inlineStr">
        <is>
          <t>1000 kcmil</t>
        </is>
      </c>
      <c r="N3819" s="12" t="n">
        <v>5</v>
      </c>
      <c r="O3819" s="12" t="n">
        <v>3</v>
      </c>
      <c r="P3819" s="12" t="n">
        <v>13800</v>
      </c>
      <c r="Q3819" s="12" t="n">
        <v>60000</v>
      </c>
      <c r="R3819" s="12" t="n">
        <v>2510</v>
      </c>
      <c r="S3819" s="12" t="inlineStr">
        <is>
          <t>Duct bank</t>
        </is>
      </c>
      <c r="T3819" s="15" t="n">
        <v>361</v>
      </c>
      <c r="U3819" s="15" t="n">
        <v>32</v>
      </c>
      <c r="V3819" s="15">
        <f>ROUNDUP((T3819+U3819+2*'Read Me'!$B$13)*(1+'Read Me'!$B$12),-1)</f>
        <v/>
      </c>
      <c r="W3819" s="15">
        <f>V3819*N3819*O3819</f>
        <v/>
      </c>
      <c r="X3819" s="12">
        <f>IF(LEFT(I3819,2)="MV",2*N3819*IF(L3819="1/C",O3819,1),0)</f>
        <v/>
      </c>
      <c r="Y3819" s="12">
        <f>IF(OR(LEFT(K3819,4)="LVAX",LEFT(K3819,6)="MV15AX",LEFT(K3819,4)="CTAX",LEFT(K3819,2)="W|"),2*N3819*O3819,0)</f>
        <v/>
      </c>
      <c r="Z3819" s="12" t="inlineStr">
        <is>
          <t>60 MVA (typ.)</t>
        </is>
      </c>
      <c r="AA3819" s="12">
        <f>N3819*O3819</f>
        <v/>
      </c>
    </row>
    <row r="3820">
      <c r="A3820" s="12" t="inlineStr">
        <is>
          <t>G-MV-0005</t>
        </is>
      </c>
      <c r="B3820" s="12" t="inlineStr">
        <is>
          <t>G</t>
        </is>
      </c>
      <c r="C3820" s="12" t="inlineStr">
        <is>
          <t>Carbon capture</t>
        </is>
      </c>
      <c r="D3820" s="12" t="inlineStr">
        <is>
          <t>CCS T-2 secondary to CCS 13.8 kV switchgear</t>
        </is>
      </c>
      <c r="E3820" s="12" t="inlineStr">
        <is>
          <t>CCS T-2</t>
        </is>
      </c>
      <c r="F3820" s="12" t="inlineStr">
        <is>
          <t>CCS T-2: 230/13.8 kV</t>
        </is>
      </c>
      <c r="G3820" s="12" t="inlineStr"/>
      <c r="H3820" s="12" t="inlineStr">
        <is>
          <t>CCS MV switchgear building (VFDs)</t>
        </is>
      </c>
      <c r="I3820" s="12" t="inlineStr">
        <is>
          <t>MV 15 kV</t>
        </is>
      </c>
      <c r="J3820" s="12" t="inlineStr">
        <is>
          <t>MV-105 15 kV 1/C Cu, EPR 133%, Cu tape shield, PVC jacket (triplexed)</t>
        </is>
      </c>
      <c r="K3820" s="12" t="inlineStr">
        <is>
          <t>MV15|1/C|1000</t>
        </is>
      </c>
      <c r="L3820" s="12" t="inlineStr">
        <is>
          <t>1/C</t>
        </is>
      </c>
      <c r="M3820" s="12" t="inlineStr">
        <is>
          <t>1000 kcmil</t>
        </is>
      </c>
      <c r="N3820" s="12" t="n">
        <v>5</v>
      </c>
      <c r="O3820" s="12" t="n">
        <v>3</v>
      </c>
      <c r="P3820" s="12" t="n">
        <v>13800</v>
      </c>
      <c r="Q3820" s="12" t="n">
        <v>60000</v>
      </c>
      <c r="R3820" s="12" t="n">
        <v>2510</v>
      </c>
      <c r="S3820" s="12" t="inlineStr">
        <is>
          <t>Duct bank</t>
        </is>
      </c>
      <c r="T3820" s="15" t="n">
        <v>409</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is>
          <t>60 MVA (typ.)</t>
        </is>
      </c>
      <c r="AA3820" s="12">
        <f>N3820*O3820</f>
        <v/>
      </c>
    </row>
    <row r="3821">
      <c r="A3821" s="12" t="inlineStr">
        <is>
          <t>G-MV-0006</t>
        </is>
      </c>
      <c r="B3821" s="12" t="inlineStr">
        <is>
          <t>G</t>
        </is>
      </c>
      <c r="C3821" s="12" t="inlineStr">
        <is>
          <t>Carbon capture</t>
        </is>
      </c>
      <c r="D3821" s="12" t="inlineStr">
        <is>
          <t>CO2 compressor train 1</t>
        </is>
      </c>
      <c r="E3821" s="12" t="inlineStr"/>
      <c r="F3821" s="12" t="inlineStr">
        <is>
          <t>CCS MV switchgear building (VFDs)</t>
        </is>
      </c>
      <c r="G3821" s="12" t="inlineStr"/>
      <c r="H3821" s="12" t="inlineStr">
        <is>
          <t>CO2 compression 3 x ~19 MW + dehydration</t>
        </is>
      </c>
      <c r="I3821" s="12" t="inlineStr">
        <is>
          <t>MV 15 kV</t>
        </is>
      </c>
      <c r="J3821" s="12" t="inlineStr">
        <is>
          <t>MV-105 15 kV 1/C Cu, EPR 133%, Cu tape shield, PVC jacket (triplexed)</t>
        </is>
      </c>
      <c r="K3821" s="12" t="inlineStr">
        <is>
          <t>MV15|1/C|750</t>
        </is>
      </c>
      <c r="L3821" s="12" t="inlineStr">
        <is>
          <t>1/C</t>
        </is>
      </c>
      <c r="M3821" s="12" t="inlineStr">
        <is>
          <t>750 kcmil</t>
        </is>
      </c>
      <c r="N3821" s="12" t="n">
        <v>2</v>
      </c>
      <c r="O3821" s="12" t="n">
        <v>3</v>
      </c>
      <c r="P3821" s="12" t="n">
        <v>13800</v>
      </c>
      <c r="Q3821" s="12" t="n">
        <v>19000</v>
      </c>
      <c r="R3821" s="12" t="n">
        <v>883</v>
      </c>
      <c r="S3821" s="12" t="inlineStr">
        <is>
          <t>Duct bank</t>
        </is>
      </c>
      <c r="T3821" s="15" t="n">
        <v>291</v>
      </c>
      <c r="U3821" s="15" t="n">
        <v>36</v>
      </c>
      <c r="V3821" s="15">
        <f>ROUNDUP((T3821+U3821+2*'Read Me'!$B$13)*(1+'Read Me'!$B$12),-1)</f>
        <v/>
      </c>
      <c r="W3821" s="15">
        <f>V3821*N3821*O3821</f>
        <v/>
      </c>
      <c r="X3821" s="12">
        <f>IF(LEFT(I3821,2)="MV",2*N3821*IF(L3821="1/C",O3821,1),0)</f>
        <v/>
      </c>
      <c r="Y3821" s="12">
        <f>IF(OR(LEFT(K3821,4)="LVAX",LEFT(K3821,6)="MV15AX",LEFT(K3821,4)="CTAX",LEFT(K3821,2)="W|"),2*N3821*O3821,0)</f>
        <v/>
      </c>
      <c r="Z3821" s="12" t="inlineStr">
        <is>
          <t>~19 MW per drawing</t>
        </is>
      </c>
      <c r="AA3821" s="12">
        <f>N3821*O3821</f>
        <v/>
      </c>
    </row>
    <row r="3822">
      <c r="A3822" s="12" t="inlineStr">
        <is>
          <t>G-MV-0007</t>
        </is>
      </c>
      <c r="B3822" s="12" t="inlineStr">
        <is>
          <t>G</t>
        </is>
      </c>
      <c r="C3822" s="12" t="inlineStr">
        <is>
          <t>Carbon capture</t>
        </is>
      </c>
      <c r="D3822" s="12" t="inlineStr">
        <is>
          <t>CO2 compressor train 2</t>
        </is>
      </c>
      <c r="E3822" s="12" t="inlineStr"/>
      <c r="F3822" s="12" t="inlineStr">
        <is>
          <t>CCS MV switchgear building (VFDs)</t>
        </is>
      </c>
      <c r="G3822" s="12" t="inlineStr"/>
      <c r="H3822" s="12" t="inlineStr">
        <is>
          <t>CO2 compression 3 x ~19 MW + dehydration</t>
        </is>
      </c>
      <c r="I3822" s="12" t="inlineStr">
        <is>
          <t>MV 15 kV</t>
        </is>
      </c>
      <c r="J3822" s="12" t="inlineStr">
        <is>
          <t>MV-105 15 kV 1/C Cu, EPR 133%, Cu tape shield, PVC jacket (triplexed)</t>
        </is>
      </c>
      <c r="K3822" s="12" t="inlineStr">
        <is>
          <t>MV15|1/C|750</t>
        </is>
      </c>
      <c r="L3822" s="12" t="inlineStr">
        <is>
          <t>1/C</t>
        </is>
      </c>
      <c r="M3822" s="12" t="inlineStr">
        <is>
          <t>750 kcmil</t>
        </is>
      </c>
      <c r="N3822" s="12" t="n">
        <v>2</v>
      </c>
      <c r="O3822" s="12" t="n">
        <v>3</v>
      </c>
      <c r="P3822" s="12" t="n">
        <v>13800</v>
      </c>
      <c r="Q3822" s="12" t="n">
        <v>19000</v>
      </c>
      <c r="R3822" s="12" t="n">
        <v>883</v>
      </c>
      <c r="S3822" s="12" t="inlineStr">
        <is>
          <t>Duct bank</t>
        </is>
      </c>
      <c r="T3822" s="15" t="n">
        <v>291</v>
      </c>
      <c r="U3822" s="15" t="n">
        <v>36</v>
      </c>
      <c r="V3822" s="15">
        <f>ROUNDUP((T3822+U3822+2*'Read Me'!$B$13)*(1+'Read Me'!$B$12),-1)</f>
        <v/>
      </c>
      <c r="W3822" s="15">
        <f>V3822*N3822*O3822</f>
        <v/>
      </c>
      <c r="X3822" s="12">
        <f>IF(LEFT(I3822,2)="MV",2*N3822*IF(L3822="1/C",O3822,1),0)</f>
        <v/>
      </c>
      <c r="Y3822" s="12">
        <f>IF(OR(LEFT(K3822,4)="LVAX",LEFT(K3822,6)="MV15AX",LEFT(K3822,4)="CTAX",LEFT(K3822,2)="W|"),2*N3822*O3822,0)</f>
        <v/>
      </c>
      <c r="Z3822" s="12" t="inlineStr">
        <is>
          <t>~19 MW per drawing</t>
        </is>
      </c>
      <c r="AA3822" s="12">
        <f>N3822*O3822</f>
        <v/>
      </c>
    </row>
    <row r="3823">
      <c r="A3823" s="12" t="inlineStr">
        <is>
          <t>G-MV-0008</t>
        </is>
      </c>
      <c r="B3823" s="12" t="inlineStr">
        <is>
          <t>G</t>
        </is>
      </c>
      <c r="C3823" s="12" t="inlineStr">
        <is>
          <t>Carbon capture</t>
        </is>
      </c>
      <c r="D3823" s="12" t="inlineStr">
        <is>
          <t>CO2 compressor train 3</t>
        </is>
      </c>
      <c r="E3823" s="12" t="inlineStr"/>
      <c r="F3823" s="12" t="inlineStr">
        <is>
          <t>CCS MV switchgear building (VFDs)</t>
        </is>
      </c>
      <c r="G3823" s="12" t="inlineStr"/>
      <c r="H3823" s="12" t="inlineStr">
        <is>
          <t>CO2 compression 3 x ~19 MW + dehydration</t>
        </is>
      </c>
      <c r="I3823" s="12" t="inlineStr">
        <is>
          <t>MV 15 kV</t>
        </is>
      </c>
      <c r="J3823" s="12" t="inlineStr">
        <is>
          <t>MV-105 15 kV 1/C Cu, EPR 133%, Cu tape shield, PVC jacket (triplexed)</t>
        </is>
      </c>
      <c r="K3823" s="12" t="inlineStr">
        <is>
          <t>MV15|1/C|750</t>
        </is>
      </c>
      <c r="L3823" s="12" t="inlineStr">
        <is>
          <t>1/C</t>
        </is>
      </c>
      <c r="M3823" s="12" t="inlineStr">
        <is>
          <t>750 kcmil</t>
        </is>
      </c>
      <c r="N3823" s="12" t="n">
        <v>2</v>
      </c>
      <c r="O3823" s="12" t="n">
        <v>3</v>
      </c>
      <c r="P3823" s="12" t="n">
        <v>13800</v>
      </c>
      <c r="Q3823" s="12" t="n">
        <v>19000</v>
      </c>
      <c r="R3823" s="12" t="n">
        <v>883</v>
      </c>
      <c r="S3823" s="12" t="inlineStr">
        <is>
          <t>Duct bank</t>
        </is>
      </c>
      <c r="T3823" s="15" t="n">
        <v>291</v>
      </c>
      <c r="U3823" s="15" t="n">
        <v>36</v>
      </c>
      <c r="V3823" s="15">
        <f>ROUNDUP((T3823+U3823+2*'Read Me'!$B$13)*(1+'Read Me'!$B$12),-1)</f>
        <v/>
      </c>
      <c r="W3823" s="15">
        <f>V3823*N3823*O3823</f>
        <v/>
      </c>
      <c r="X3823" s="12">
        <f>IF(LEFT(I3823,2)="MV",2*N3823*IF(L3823="1/C",O3823,1),0)</f>
        <v/>
      </c>
      <c r="Y3823" s="12">
        <f>IF(OR(LEFT(K3823,4)="LVAX",LEFT(K3823,6)="MV15AX",LEFT(K3823,4)="CTAX",LEFT(K3823,2)="W|"),2*N3823*O3823,0)</f>
        <v/>
      </c>
      <c r="Z3823" s="12" t="inlineStr">
        <is>
          <t>~19 MW per drawing</t>
        </is>
      </c>
      <c r="AA3823" s="12">
        <f>N3823*O3823</f>
        <v/>
      </c>
    </row>
    <row r="3824">
      <c r="A3824" s="12" t="inlineStr">
        <is>
          <t>G-MV-0009</t>
        </is>
      </c>
      <c r="B3824" s="12" t="inlineStr">
        <is>
          <t>G</t>
        </is>
      </c>
      <c r="C3824" s="12" t="inlineStr">
        <is>
          <t>Carbon capture</t>
        </is>
      </c>
      <c r="D3824" s="12" t="inlineStr">
        <is>
          <t>HP CO2 export compressor (conditional)</t>
        </is>
      </c>
      <c r="E3824" s="12" t="inlineStr"/>
      <c r="F3824" s="12" t="inlineStr">
        <is>
          <t>CCS MV switchgear building (VFDs)</t>
        </is>
      </c>
      <c r="G3824" s="12" t="inlineStr"/>
      <c r="H3824" s="12" t="inlineStr">
        <is>
          <t>CONDITIONAL: HP export compressor + metering</t>
        </is>
      </c>
      <c r="I3824" s="12" t="inlineStr">
        <is>
          <t>MV 15 kV</t>
        </is>
      </c>
      <c r="J3824" s="12" t="inlineStr">
        <is>
          <t>MV-105 15 kV 1/C Cu, EPR 133%, Cu tape shield, PVC jacket (triplexed)</t>
        </is>
      </c>
      <c r="K3824" s="12" t="inlineStr">
        <is>
          <t>MV15|1/C|750</t>
        </is>
      </c>
      <c r="L3824" s="12" t="inlineStr">
        <is>
          <t>1/C</t>
        </is>
      </c>
      <c r="M3824" s="12" t="inlineStr">
        <is>
          <t>750 kcmil</t>
        </is>
      </c>
      <c r="N3824" s="12" t="n">
        <v>1</v>
      </c>
      <c r="O3824" s="12" t="n">
        <v>3</v>
      </c>
      <c r="P3824" s="12" t="n">
        <v>13800</v>
      </c>
      <c r="Q3824" s="12" t="n">
        <v>8000</v>
      </c>
      <c r="R3824" s="12" t="n">
        <v>372</v>
      </c>
      <c r="S3824" s="12" t="inlineStr">
        <is>
          <t>Duct bank</t>
        </is>
      </c>
      <c r="T3824" s="15" t="n">
        <v>303</v>
      </c>
      <c r="U3824" s="15" t="n">
        <v>34</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G-MV-0010</t>
        </is>
      </c>
      <c r="B3825" s="12" t="inlineStr">
        <is>
          <t>G</t>
        </is>
      </c>
      <c r="C3825" s="12" t="inlineStr">
        <is>
          <t>Carbon capture</t>
        </is>
      </c>
      <c r="D3825" s="12" t="inlineStr">
        <is>
          <t>CT MCC / VFD e-house transformer</t>
        </is>
      </c>
      <c r="E3825" s="12" t="inlineStr"/>
      <c r="F3825" s="12" t="inlineStr">
        <is>
          <t>CCS MV switchgear building (VFDs)</t>
        </is>
      </c>
      <c r="G3825" s="12" t="inlineStr"/>
      <c r="H3825" s="12" t="inlineStr">
        <is>
          <t>CT MCC / VFD e-house</t>
        </is>
      </c>
      <c r="I3825" s="12" t="inlineStr">
        <is>
          <t>MV 15 kV</t>
        </is>
      </c>
      <c r="J3825" s="12" t="inlineStr">
        <is>
          <t>MV-105 15 kV 1/C Cu, EPR 133%, Cu tape shield, PVC jacket (triplexed)</t>
        </is>
      </c>
      <c r="K3825" s="12" t="inlineStr">
        <is>
          <t>MV15|1/C|1/0</t>
        </is>
      </c>
      <c r="L3825" s="12" t="inlineStr">
        <is>
          <t>1/C</t>
        </is>
      </c>
      <c r="M3825" s="12" t="inlineStr">
        <is>
          <t>1/0</t>
        </is>
      </c>
      <c r="N3825" s="12" t="n">
        <v>1</v>
      </c>
      <c r="O3825" s="12" t="n">
        <v>3</v>
      </c>
      <c r="P3825" s="12" t="n">
        <v>13800</v>
      </c>
      <c r="Q3825" s="12" t="n">
        <v>3000</v>
      </c>
      <c r="R3825" s="12" t="n">
        <v>126</v>
      </c>
      <c r="S3825" s="12" t="inlineStr">
        <is>
          <t>Duct bank</t>
        </is>
      </c>
      <c r="T3825" s="15" t="n">
        <v>925</v>
      </c>
      <c r="U3825" s="15" t="n">
        <v>32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G-MV-0011</t>
        </is>
      </c>
      <c r="B3826" s="12" t="inlineStr">
        <is>
          <t>G</t>
        </is>
      </c>
      <c r="C3826" s="12" t="inlineStr">
        <is>
          <t>Carbon capture</t>
        </is>
      </c>
      <c r="D3826" s="12" t="inlineStr">
        <is>
          <t>CT MCC / VFD e-house transformer</t>
        </is>
      </c>
      <c r="E3826" s="12" t="inlineStr"/>
      <c r="F3826" s="12" t="inlineStr">
        <is>
          <t>CCS MV switchgear building (VFDs)</t>
        </is>
      </c>
      <c r="G3826" s="12" t="inlineStr"/>
      <c r="H3826" s="12" t="inlineStr">
        <is>
          <t>CT MCC / VFD e-house</t>
        </is>
      </c>
      <c r="I3826" s="12" t="inlineStr">
        <is>
          <t>MV 15 kV</t>
        </is>
      </c>
      <c r="J3826" s="12" t="inlineStr">
        <is>
          <t>MV-105 15 kV 1/C Cu, EPR 133%, Cu tape shield, PVC jacket (triplexed)</t>
        </is>
      </c>
      <c r="K3826" s="12" t="inlineStr">
        <is>
          <t>MV15|1/C|1/0</t>
        </is>
      </c>
      <c r="L3826" s="12" t="inlineStr">
        <is>
          <t>1/C</t>
        </is>
      </c>
      <c r="M3826" s="12" t="inlineStr">
        <is>
          <t>1/0</t>
        </is>
      </c>
      <c r="N3826" s="12" t="n">
        <v>1</v>
      </c>
      <c r="O3826" s="12" t="n">
        <v>3</v>
      </c>
      <c r="P3826" s="12" t="n">
        <v>13800</v>
      </c>
      <c r="Q3826" s="12" t="n">
        <v>3000</v>
      </c>
      <c r="R3826" s="12" t="n">
        <v>126</v>
      </c>
      <c r="S3826" s="12" t="inlineStr">
        <is>
          <t>Duct bank</t>
        </is>
      </c>
      <c r="T3826" s="15" t="n">
        <v>925</v>
      </c>
      <c r="U3826" s="15" t="n">
        <v>32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G-MV-0012</t>
        </is>
      </c>
      <c r="B3827" s="12" t="inlineStr">
        <is>
          <t>G</t>
        </is>
      </c>
      <c r="C3827" s="12" t="inlineStr">
        <is>
          <t>Carbon capture</t>
        </is>
      </c>
      <c r="D3827" s="12" t="inlineStr">
        <is>
          <t>CCS circulating-water pump 1</t>
        </is>
      </c>
      <c r="E3827" s="12" t="inlineStr"/>
      <c r="F3827" s="12" t="inlineStr">
        <is>
          <t>CCS MV switchgear building (VFDs)</t>
        </is>
      </c>
      <c r="G3827" s="12" t="inlineStr"/>
      <c r="H3827" s="12" t="inlineStr">
        <is>
          <t>CCS circulating-water pumps</t>
        </is>
      </c>
      <c r="I3827" s="12" t="inlineStr">
        <is>
          <t>MV 5 kV</t>
        </is>
      </c>
      <c r="J3827" s="12" t="inlineStr">
        <is>
          <t>MV-105 5 kV 3/C Cu, EPR 133%, tape shield, gnd, PVC jacket</t>
        </is>
      </c>
      <c r="K3827" s="12" t="inlineStr">
        <is>
          <t>MV5|3/C|4/0</t>
        </is>
      </c>
      <c r="L3827" s="12" t="inlineStr">
        <is>
          <t>3/C</t>
        </is>
      </c>
      <c r="M3827" s="12" t="inlineStr">
        <is>
          <t>4/0</t>
        </is>
      </c>
      <c r="N3827" s="12" t="n">
        <v>1</v>
      </c>
      <c r="O3827" s="12" t="n">
        <v>1</v>
      </c>
      <c r="P3827" s="12" t="n">
        <v>4160</v>
      </c>
      <c r="Q3827" s="12" t="n">
        <v>1200</v>
      </c>
      <c r="R3827" s="12" t="n">
        <v>185</v>
      </c>
      <c r="S3827" s="12" t="inlineStr">
        <is>
          <t>Duct bank</t>
        </is>
      </c>
      <c r="T3827" s="15" t="n">
        <v>925</v>
      </c>
      <c r="U3827" s="15" t="n">
        <v>72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G-MV-0013</t>
        </is>
      </c>
      <c r="B3828" s="12" t="inlineStr">
        <is>
          <t>G</t>
        </is>
      </c>
      <c r="C3828" s="12" t="inlineStr">
        <is>
          <t>Carbon capture</t>
        </is>
      </c>
      <c r="D3828" s="12" t="inlineStr">
        <is>
          <t>CCS circulating-water pump 2</t>
        </is>
      </c>
      <c r="E3828" s="12" t="inlineStr"/>
      <c r="F3828" s="12" t="inlineStr">
        <is>
          <t>CCS MV switchgear building (VFDs)</t>
        </is>
      </c>
      <c r="G3828" s="12" t="inlineStr"/>
      <c r="H3828" s="12" t="inlineStr">
        <is>
          <t>CCS circulating-water pumps</t>
        </is>
      </c>
      <c r="I3828" s="12" t="inlineStr">
        <is>
          <t>MV 5 kV</t>
        </is>
      </c>
      <c r="J3828" s="12" t="inlineStr">
        <is>
          <t>MV-105 5 kV 3/C Cu, EPR 133%, tape shield, gnd, PVC jacket</t>
        </is>
      </c>
      <c r="K3828" s="12" t="inlineStr">
        <is>
          <t>MV5|3/C|4/0</t>
        </is>
      </c>
      <c r="L3828" s="12" t="inlineStr">
        <is>
          <t>3/C</t>
        </is>
      </c>
      <c r="M3828" s="12" t="inlineStr">
        <is>
          <t>4/0</t>
        </is>
      </c>
      <c r="N3828" s="12" t="n">
        <v>1</v>
      </c>
      <c r="O3828" s="12" t="n">
        <v>1</v>
      </c>
      <c r="P3828" s="12" t="n">
        <v>4160</v>
      </c>
      <c r="Q3828" s="12" t="n">
        <v>1200</v>
      </c>
      <c r="R3828" s="12" t="n">
        <v>185</v>
      </c>
      <c r="S3828" s="12" t="inlineStr">
        <is>
          <t>Duct bank</t>
        </is>
      </c>
      <c r="T3828" s="15" t="n">
        <v>925</v>
      </c>
      <c r="U3828" s="15" t="n">
        <v>72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G-MV-0014</t>
        </is>
      </c>
      <c r="B3829" s="12" t="inlineStr">
        <is>
          <t>G</t>
        </is>
      </c>
      <c r="C3829" s="12" t="inlineStr">
        <is>
          <t>Carbon capture</t>
        </is>
      </c>
      <c r="D3829" s="12" t="inlineStr">
        <is>
          <t>CCS circulating-water pump 3</t>
        </is>
      </c>
      <c r="E3829" s="12" t="inlineStr"/>
      <c r="F3829" s="12" t="inlineStr">
        <is>
          <t>CCS MV switchgear building (VFDs)</t>
        </is>
      </c>
      <c r="G3829" s="12" t="inlineStr"/>
      <c r="H3829" s="12" t="inlineStr">
        <is>
          <t>CCS circulating-water pumps</t>
        </is>
      </c>
      <c r="I3829" s="12" t="inlineStr">
        <is>
          <t>MV 5 kV</t>
        </is>
      </c>
      <c r="J3829" s="12" t="inlineStr">
        <is>
          <t>MV-105 5 kV 3/C Cu, EPR 133%, tape shield, gnd, PVC jacket</t>
        </is>
      </c>
      <c r="K3829" s="12" t="inlineStr">
        <is>
          <t>MV5|3/C|4/0</t>
        </is>
      </c>
      <c r="L3829" s="12" t="inlineStr">
        <is>
          <t>3/C</t>
        </is>
      </c>
      <c r="M3829" s="12" t="inlineStr">
        <is>
          <t>4/0</t>
        </is>
      </c>
      <c r="N3829" s="12" t="n">
        <v>1</v>
      </c>
      <c r="O3829" s="12" t="n">
        <v>1</v>
      </c>
      <c r="P3829" s="12" t="n">
        <v>4160</v>
      </c>
      <c r="Q3829" s="12" t="n">
        <v>1200</v>
      </c>
      <c r="R3829" s="12" t="n">
        <v>185</v>
      </c>
      <c r="S3829" s="12" t="inlineStr">
        <is>
          <t>Duct bank</t>
        </is>
      </c>
      <c r="T3829" s="15" t="n">
        <v>925</v>
      </c>
      <c r="U3829" s="15" t="n">
        <v>72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G-MV-0015</t>
        </is>
      </c>
      <c r="B3830" s="12" t="inlineStr">
        <is>
          <t>G</t>
        </is>
      </c>
      <c r="C3830" s="12" t="inlineStr">
        <is>
          <t>Carbon capture</t>
        </is>
      </c>
      <c r="D3830" s="12" t="inlineStr">
        <is>
          <t>CCS circulating-water pump 4</t>
        </is>
      </c>
      <c r="E3830" s="12" t="inlineStr"/>
      <c r="F3830" s="12" t="inlineStr">
        <is>
          <t>CCS MV switchgear building (VFDs)</t>
        </is>
      </c>
      <c r="G3830" s="12" t="inlineStr"/>
      <c r="H3830" s="12" t="inlineStr">
        <is>
          <t>CCS circulating-water pumps</t>
        </is>
      </c>
      <c r="I3830" s="12" t="inlineStr">
        <is>
          <t>MV 5 kV</t>
        </is>
      </c>
      <c r="J3830" s="12" t="inlineStr">
        <is>
          <t>MV-105 5 kV 3/C Cu, EPR 133%, tape shield, gnd, PVC jacket</t>
        </is>
      </c>
      <c r="K3830" s="12" t="inlineStr">
        <is>
          <t>MV5|3/C|4/0</t>
        </is>
      </c>
      <c r="L3830" s="12" t="inlineStr">
        <is>
          <t>3/C</t>
        </is>
      </c>
      <c r="M3830" s="12" t="inlineStr">
        <is>
          <t>4/0</t>
        </is>
      </c>
      <c r="N3830" s="12" t="n">
        <v>1</v>
      </c>
      <c r="O3830" s="12" t="n">
        <v>1</v>
      </c>
      <c r="P3830" s="12" t="n">
        <v>4160</v>
      </c>
      <c r="Q3830" s="12" t="n">
        <v>1200</v>
      </c>
      <c r="R3830" s="12" t="n">
        <v>185</v>
      </c>
      <c r="S3830" s="12" t="inlineStr">
        <is>
          <t>Duct bank</t>
        </is>
      </c>
      <c r="T3830" s="15" t="n">
        <v>925</v>
      </c>
      <c r="U3830" s="15" t="n">
        <v>72</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G-MV-0016</t>
        </is>
      </c>
      <c r="B3831" s="12" t="inlineStr">
        <is>
          <t>G</t>
        </is>
      </c>
      <c r="C3831" s="12" t="inlineStr">
        <is>
          <t>Carbon capture</t>
        </is>
      </c>
      <c r="D3831" s="12" t="inlineStr">
        <is>
          <t>Rich / lean amine pumps (A)</t>
        </is>
      </c>
      <c r="E3831" s="12" t="inlineStr"/>
      <c r="F3831" s="12" t="inlineStr">
        <is>
          <t>CCS MV switchgear building (VFDs)</t>
        </is>
      </c>
      <c r="G3831" s="12" t="inlineStr"/>
      <c r="H3831" s="12" t="inlineStr">
        <is>
          <t>Rich/lean pumps, cross exchanger, lean cooler A</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Tray</t>
        </is>
      </c>
      <c r="T3831" s="15" t="n">
        <v>465</v>
      </c>
      <c r="U3831" s="15" t="n">
        <v>112</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G-MV-0017</t>
        </is>
      </c>
      <c r="B3832" s="12" t="inlineStr">
        <is>
          <t>G</t>
        </is>
      </c>
      <c r="C3832" s="12" t="inlineStr">
        <is>
          <t>Carbon capture</t>
        </is>
      </c>
      <c r="D3832" s="12" t="inlineStr">
        <is>
          <t>Rich / lean amine pumps (A)</t>
        </is>
      </c>
      <c r="E3832" s="12" t="inlineStr"/>
      <c r="F3832" s="12" t="inlineStr">
        <is>
          <t>CCS MV switchgear building (VFDs)</t>
        </is>
      </c>
      <c r="G3832" s="12" t="inlineStr"/>
      <c r="H3832" s="12" t="inlineStr">
        <is>
          <t>Rich/lean pumps, cross exchanger, lean cooler A</t>
        </is>
      </c>
      <c r="I3832" s="12" t="inlineStr">
        <is>
          <t>MV 5 kV</t>
        </is>
      </c>
      <c r="J3832" s="12" t="inlineStr">
        <is>
          <t>MV-105 5 kV 3/C Cu, EPR 133%, tape shield, gnd, PVC jacket</t>
        </is>
      </c>
      <c r="K3832" s="12" t="inlineStr">
        <is>
          <t>MV5|3/C|2</t>
        </is>
      </c>
      <c r="L3832" s="12" t="inlineStr">
        <is>
          <t>3/C</t>
        </is>
      </c>
      <c r="M3832" s="12" t="inlineStr">
        <is>
          <t>2</t>
        </is>
      </c>
      <c r="N3832" s="12" t="n">
        <v>1</v>
      </c>
      <c r="O3832" s="12" t="n">
        <v>1</v>
      </c>
      <c r="P3832" s="12" t="n">
        <v>4160</v>
      </c>
      <c r="Q3832" s="12" t="n">
        <v>450</v>
      </c>
      <c r="R3832" s="12" t="n">
        <v>69</v>
      </c>
      <c r="S3832" s="12" t="inlineStr">
        <is>
          <t>Tray</t>
        </is>
      </c>
      <c r="T3832" s="15" t="n">
        <v>465</v>
      </c>
      <c r="U3832" s="15" t="n">
        <v>112</v>
      </c>
      <c r="V3832" s="15">
        <f>ROUNDUP((T3832+U3832+2*'Read Me'!$B$13)*(1+'Read Me'!$B$12),-1)</f>
        <v/>
      </c>
      <c r="W3832" s="15">
        <f>V3832*N3832*O3832</f>
        <v/>
      </c>
      <c r="X3832" s="12">
        <f>IF(LEFT(I3832,2)="MV",2*N3832*IF(L3832="1/C",O3832,1),0)</f>
        <v/>
      </c>
      <c r="Y3832" s="12">
        <f>IF(OR(LEFT(K3832,4)="LVAX",LEFT(K3832,6)="MV15AX",LEFT(K3832,4)="CTAX",LEFT(K3832,2)="W|"),2*N3832*O3832,0)</f>
        <v/>
      </c>
      <c r="Z3832" s="12" t="inlineStr"/>
      <c r="AA3832" s="12">
        <f>N3832*O3832</f>
        <v/>
      </c>
    </row>
    <row r="3833">
      <c r="A3833" s="12" t="inlineStr">
        <is>
          <t>G-MV-0018</t>
        </is>
      </c>
      <c r="B3833" s="12" t="inlineStr">
        <is>
          <t>G</t>
        </is>
      </c>
      <c r="C3833" s="12" t="inlineStr">
        <is>
          <t>Carbon capture</t>
        </is>
      </c>
      <c r="D3833" s="12" t="inlineStr">
        <is>
          <t>Rich / lean amine pumps (B)</t>
        </is>
      </c>
      <c r="E3833" s="12" t="inlineStr"/>
      <c r="F3833" s="12" t="inlineStr">
        <is>
          <t>CCS MV switchgear building (VFDs)</t>
        </is>
      </c>
      <c r="G3833" s="12" t="inlineStr"/>
      <c r="H3833" s="12" t="inlineStr">
        <is>
          <t>Rich/lean pumps, cross exchanger, lean cooler B</t>
        </is>
      </c>
      <c r="I3833" s="12" t="inlineStr">
        <is>
          <t>MV 5 kV</t>
        </is>
      </c>
      <c r="J3833" s="12" t="inlineStr">
        <is>
          <t>MV-105 5 kV 3/C Cu, EPR 133%, tape shield, gnd, PVC jacket</t>
        </is>
      </c>
      <c r="K3833" s="12" t="inlineStr">
        <is>
          <t>MV5|3/C|2</t>
        </is>
      </c>
      <c r="L3833" s="12" t="inlineStr">
        <is>
          <t>3/C</t>
        </is>
      </c>
      <c r="M3833" s="12" t="inlineStr">
        <is>
          <t>2</t>
        </is>
      </c>
      <c r="N3833" s="12" t="n">
        <v>1</v>
      </c>
      <c r="O3833" s="12" t="n">
        <v>1</v>
      </c>
      <c r="P3833" s="12" t="n">
        <v>4160</v>
      </c>
      <c r="Q3833" s="12" t="n">
        <v>450</v>
      </c>
      <c r="R3833" s="12" t="n">
        <v>69</v>
      </c>
      <c r="S3833" s="12" t="inlineStr">
        <is>
          <t>Tray</t>
        </is>
      </c>
      <c r="T3833" s="15" t="n">
        <v>305</v>
      </c>
      <c r="U3833" s="15" t="n">
        <v>112</v>
      </c>
      <c r="V3833" s="15">
        <f>ROUNDUP((T3833+U3833+2*'Read Me'!$B$13)*(1+'Read Me'!$B$12),-1)</f>
        <v/>
      </c>
      <c r="W3833" s="15">
        <f>V3833*N3833*O3833</f>
        <v/>
      </c>
      <c r="X3833" s="12">
        <f>IF(LEFT(I3833,2)="MV",2*N3833*IF(L3833="1/C",O3833,1),0)</f>
        <v/>
      </c>
      <c r="Y3833" s="12">
        <f>IF(OR(LEFT(K3833,4)="LVAX",LEFT(K3833,6)="MV15AX",LEFT(K3833,4)="CTAX",LEFT(K3833,2)="W|"),2*N3833*O3833,0)</f>
        <v/>
      </c>
      <c r="Z3833" s="12" t="inlineStr"/>
      <c r="AA3833" s="12">
        <f>N3833*O3833</f>
        <v/>
      </c>
    </row>
    <row r="3834">
      <c r="A3834" s="12" t="inlineStr">
        <is>
          <t>G-MV-0019</t>
        </is>
      </c>
      <c r="B3834" s="12" t="inlineStr">
        <is>
          <t>G</t>
        </is>
      </c>
      <c r="C3834" s="12" t="inlineStr">
        <is>
          <t>Carbon capture</t>
        </is>
      </c>
      <c r="D3834" s="12" t="inlineStr">
        <is>
          <t>Rich / lean amine pumps (B)</t>
        </is>
      </c>
      <c r="E3834" s="12" t="inlineStr"/>
      <c r="F3834" s="12" t="inlineStr">
        <is>
          <t>CCS MV switchgear building (VFDs)</t>
        </is>
      </c>
      <c r="G3834" s="12" t="inlineStr"/>
      <c r="H3834" s="12" t="inlineStr">
        <is>
          <t>Rich/lean pumps, cross exchanger, lean cooler B</t>
        </is>
      </c>
      <c r="I3834" s="12" t="inlineStr">
        <is>
          <t>MV 5 kV</t>
        </is>
      </c>
      <c r="J3834" s="12" t="inlineStr">
        <is>
          <t>MV-105 5 kV 3/C Cu, EPR 133%, tape shield, gnd, PVC jacket</t>
        </is>
      </c>
      <c r="K3834" s="12" t="inlineStr">
        <is>
          <t>MV5|3/C|2</t>
        </is>
      </c>
      <c r="L3834" s="12" t="inlineStr">
        <is>
          <t>3/C</t>
        </is>
      </c>
      <c r="M3834" s="12" t="inlineStr">
        <is>
          <t>2</t>
        </is>
      </c>
      <c r="N3834" s="12" t="n">
        <v>1</v>
      </c>
      <c r="O3834" s="12" t="n">
        <v>1</v>
      </c>
      <c r="P3834" s="12" t="n">
        <v>4160</v>
      </c>
      <c r="Q3834" s="12" t="n">
        <v>450</v>
      </c>
      <c r="R3834" s="12" t="n">
        <v>69</v>
      </c>
      <c r="S3834" s="12" t="inlineStr">
        <is>
          <t>Tray</t>
        </is>
      </c>
      <c r="T3834" s="15" t="n">
        <v>305</v>
      </c>
      <c r="U3834" s="15" t="n">
        <v>112</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G-MV-0020</t>
        </is>
      </c>
      <c r="B3835" s="12" t="inlineStr">
        <is>
          <t>G</t>
        </is>
      </c>
      <c r="C3835" s="12" t="inlineStr">
        <is>
          <t>Carbon capture</t>
        </is>
      </c>
      <c r="D3835" s="12" t="inlineStr">
        <is>
          <t>Rich / lean amine pumps (C)</t>
        </is>
      </c>
      <c r="E3835" s="12" t="inlineStr"/>
      <c r="F3835" s="12" t="inlineStr">
        <is>
          <t>CCS MV switchgear building (VFDs)</t>
        </is>
      </c>
      <c r="G3835" s="12" t="inlineStr"/>
      <c r="H3835" s="12" t="inlineStr">
        <is>
          <t>Rich/lean pumps, cross exchanger, lean cooler C</t>
        </is>
      </c>
      <c r="I3835" s="12" t="inlineStr">
        <is>
          <t>MV 5 kV</t>
        </is>
      </c>
      <c r="J3835" s="12" t="inlineStr">
        <is>
          <t>MV-105 5 kV 3/C Cu, EPR 133%, tape shield, gnd, PVC jacket</t>
        </is>
      </c>
      <c r="K3835" s="12" t="inlineStr">
        <is>
          <t>MV5|3/C|2</t>
        </is>
      </c>
      <c r="L3835" s="12" t="inlineStr">
        <is>
          <t>3/C</t>
        </is>
      </c>
      <c r="M3835" s="12" t="inlineStr">
        <is>
          <t>2</t>
        </is>
      </c>
      <c r="N3835" s="12" t="n">
        <v>1</v>
      </c>
      <c r="O3835" s="12" t="n">
        <v>1</v>
      </c>
      <c r="P3835" s="12" t="n">
        <v>4160</v>
      </c>
      <c r="Q3835" s="12" t="n">
        <v>450</v>
      </c>
      <c r="R3835" s="12" t="n">
        <v>69</v>
      </c>
      <c r="S3835" s="12" t="inlineStr">
        <is>
          <t>Duct bank</t>
        </is>
      </c>
      <c r="T3835" s="15" t="n">
        <v>0</v>
      </c>
      <c r="U3835" s="15" t="n">
        <v>69</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G-MV-0021</t>
        </is>
      </c>
      <c r="B3836" s="12" t="inlineStr">
        <is>
          <t>G</t>
        </is>
      </c>
      <c r="C3836" s="12" t="inlineStr">
        <is>
          <t>Carbon capture</t>
        </is>
      </c>
      <c r="D3836" s="12" t="inlineStr">
        <is>
          <t>Rich / lean amine pumps (C)</t>
        </is>
      </c>
      <c r="E3836" s="12" t="inlineStr"/>
      <c r="F3836" s="12" t="inlineStr">
        <is>
          <t>CCS MV switchgear building (VFDs)</t>
        </is>
      </c>
      <c r="G3836" s="12" t="inlineStr"/>
      <c r="H3836" s="12" t="inlineStr">
        <is>
          <t>Rich/lean pumps, cross exchanger, lean cooler C</t>
        </is>
      </c>
      <c r="I3836" s="12" t="inlineStr">
        <is>
          <t>MV 5 kV</t>
        </is>
      </c>
      <c r="J3836" s="12" t="inlineStr">
        <is>
          <t>MV-105 5 kV 3/C Cu, EPR 133%, tape shield, gnd, PVC jacket</t>
        </is>
      </c>
      <c r="K3836" s="12" t="inlineStr">
        <is>
          <t>MV5|3/C|2</t>
        </is>
      </c>
      <c r="L3836" s="12" t="inlineStr">
        <is>
          <t>3/C</t>
        </is>
      </c>
      <c r="M3836" s="12" t="inlineStr">
        <is>
          <t>2</t>
        </is>
      </c>
      <c r="N3836" s="12" t="n">
        <v>1</v>
      </c>
      <c r="O3836" s="12" t="n">
        <v>1</v>
      </c>
      <c r="P3836" s="12" t="n">
        <v>4160</v>
      </c>
      <c r="Q3836" s="12" t="n">
        <v>450</v>
      </c>
      <c r="R3836" s="12" t="n">
        <v>69</v>
      </c>
      <c r="S3836" s="12" t="inlineStr">
        <is>
          <t>Duct bank</t>
        </is>
      </c>
      <c r="T3836" s="15" t="n">
        <v>0</v>
      </c>
      <c r="U3836" s="15" t="n">
        <v>69</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H-L-0001</t>
        </is>
      </c>
      <c r="B3837" s="12" t="inlineStr">
        <is>
          <t>H</t>
        </is>
      </c>
      <c r="C3837" s="12" t="inlineStr">
        <is>
          <t>BESS</t>
        </is>
      </c>
      <c r="D3837" s="12" t="inlineStr">
        <is>
          <t>Lighting, receptacles and small power branch circuits (allowance)</t>
        </is>
      </c>
      <c r="E3837" s="12" t="inlineStr"/>
      <c r="F3837" s="12" t="inlineStr">
        <is>
          <t>34.5 kV collector e-house (arc-resistant)</t>
        </is>
      </c>
      <c r="G3837" s="12" t="inlineStr"/>
      <c r="H3837" s="12" t="inlineStr">
        <is>
          <t>34.5 kV collector e-house (arc-resistant)</t>
        </is>
      </c>
      <c r="I3837" s="12" t="inlineStr">
        <is>
          <t>Building wire</t>
        </is>
      </c>
      <c r="J3837" s="12" t="inlineStr">
        <is>
          <t>SIMpull THHN/THWN-2 600 V 1/C Cu (lighting, receptacles, small power)</t>
        </is>
      </c>
      <c r="K3837" s="12" t="inlineStr">
        <is>
          <t>THHN|1/C|12</t>
        </is>
      </c>
      <c r="L3837" s="12" t="inlineStr">
        <is>
          <t>1/C</t>
        </is>
      </c>
      <c r="M3837" s="12" t="inlineStr">
        <is>
          <t>12</t>
        </is>
      </c>
      <c r="N3837" s="12" t="n">
        <v>1</v>
      </c>
      <c r="O3837" s="12" t="n">
        <v>1</v>
      </c>
      <c r="P3837" s="12" t="n">
        <v>277</v>
      </c>
      <c r="Q3837" s="12" t="n"/>
      <c r="R3837" s="12" t="n"/>
      <c r="S3837" s="12" t="inlineStr">
        <is>
          <t>Conduit</t>
        </is>
      </c>
      <c r="T3837" s="15" t="n">
        <v>1280</v>
      </c>
      <c r="U3837" s="15" t="n">
        <v>0</v>
      </c>
      <c r="V3837" s="15">
        <f>ROUNDUP((T3837+U3837+2*'Read Me'!$B$13)*(1+'Read Me'!$B$12),-1)</f>
        <v/>
      </c>
      <c r="W3837" s="15">
        <f>V3837*N3837*O3837</f>
        <v/>
      </c>
      <c r="X3837" s="12">
        <f>IF(LEFT(I3837,2)="MV",2*N3837*IF(L3837="1/C",O3837,1),0)</f>
        <v/>
      </c>
      <c r="Y3837" s="12">
        <f>IF(OR(LEFT(K3837,4)="LVAX",LEFT(K3837,6)="MV15AX",LEFT(K3837,4)="CTAX",LEFT(K3837,2)="W|"),2*N3837*O3837,0)</f>
        <v/>
      </c>
      <c r="Z3837" s="12" t="inlineStr">
        <is>
          <t>allowance: 1.6 ft of conductor per ft2 of floor</t>
        </is>
      </c>
      <c r="AA3837" s="12">
        <f>N3837*O3837</f>
        <v/>
      </c>
    </row>
    <row r="3838">
      <c r="A3838" s="12" t="inlineStr">
        <is>
          <t>H-L-0002</t>
        </is>
      </c>
      <c r="B3838" s="12" t="inlineStr">
        <is>
          <t>H</t>
        </is>
      </c>
      <c r="C3838" s="12" t="inlineStr">
        <is>
          <t>BESS</t>
        </is>
      </c>
      <c r="D3838" s="12" t="inlineStr">
        <is>
          <t>Lighting, receptacles and small power branch circuits (allowance)</t>
        </is>
      </c>
      <c r="E3838" s="12" t="inlineStr"/>
      <c r="F3838" s="12" t="inlineStr">
        <is>
          <t>BESS EMS / SCADA and revenue metering</t>
        </is>
      </c>
      <c r="G3838" s="12" t="inlineStr"/>
      <c r="H3838" s="12" t="inlineStr">
        <is>
          <t>BESS EMS / SCADA and revenue metering</t>
        </is>
      </c>
      <c r="I3838" s="12" t="inlineStr">
        <is>
          <t>Building wire</t>
        </is>
      </c>
      <c r="J3838" s="12" t="inlineStr">
        <is>
          <t>SIMpull THHN/THWN-2 600 V 1/C Cu (lighting, receptacles, small power)</t>
        </is>
      </c>
      <c r="K3838" s="12" t="inlineStr">
        <is>
          <t>THHN|1/C|12</t>
        </is>
      </c>
      <c r="L3838" s="12" t="inlineStr">
        <is>
          <t>1/C</t>
        </is>
      </c>
      <c r="M3838" s="12" t="inlineStr">
        <is>
          <t>12</t>
        </is>
      </c>
      <c r="N3838" s="12" t="n">
        <v>1</v>
      </c>
      <c r="O3838" s="12" t="n">
        <v>1</v>
      </c>
      <c r="P3838" s="12" t="n">
        <v>277</v>
      </c>
      <c r="Q3838" s="12" t="n"/>
      <c r="R3838" s="12" t="n"/>
      <c r="S3838" s="12" t="inlineStr">
        <is>
          <t>Conduit</t>
        </is>
      </c>
      <c r="T3838" s="15" t="n">
        <v>384</v>
      </c>
      <c r="U3838" s="15" t="n">
        <v>0</v>
      </c>
      <c r="V3838" s="15">
        <f>ROUNDUP((T3838+U3838+2*'Read Me'!$B$13)*(1+'Read Me'!$B$12),-1)</f>
        <v/>
      </c>
      <c r="W3838" s="15">
        <f>V3838*N3838*O3838</f>
        <v/>
      </c>
      <c r="X3838" s="12">
        <f>IF(LEFT(I3838,2)="MV",2*N3838*IF(L3838="1/C",O3838,1),0)</f>
        <v/>
      </c>
      <c r="Y3838" s="12">
        <f>IF(OR(LEFT(K3838,4)="LVAX",LEFT(K3838,6)="MV15AX",LEFT(K3838,4)="CTAX",LEFT(K3838,2)="W|"),2*N3838*O3838,0)</f>
        <v/>
      </c>
      <c r="Z3838" s="12" t="inlineStr">
        <is>
          <t>allowance: 1.6 ft of conductor per ft2 of floor</t>
        </is>
      </c>
      <c r="AA3838" s="12">
        <f>N3838*O3838</f>
        <v/>
      </c>
    </row>
    <row r="3839">
      <c r="A3839" s="12" t="inlineStr">
        <is>
          <t>H-C-0001</t>
        </is>
      </c>
      <c r="B3839" s="12" t="inlineStr">
        <is>
          <t>H</t>
        </is>
      </c>
      <c r="C3839" s="12" t="inlineStr">
        <is>
          <t>BESS</t>
        </is>
      </c>
      <c r="D3839" s="12" t="inlineStr">
        <is>
          <t>Control</t>
        </is>
      </c>
      <c r="E3839" s="12" t="inlineStr"/>
      <c r="F3839" s="12" t="inlineStr">
        <is>
          <t>BESS EMS / SCADA and revenue metering</t>
        </is>
      </c>
      <c r="G3839" s="12" t="inlineStr"/>
      <c r="H3839" s="12" t="inlineStr">
        <is>
          <t>34.5 kV collector e-house (arc-resistant)</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68</v>
      </c>
      <c r="U3839" s="15" t="n">
        <v>37</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H-C-0002</t>
        </is>
      </c>
      <c r="B3840" s="12" t="inlineStr">
        <is>
          <t>H</t>
        </is>
      </c>
      <c r="C3840" s="12" t="inlineStr">
        <is>
          <t>BESS</t>
        </is>
      </c>
      <c r="D3840" s="12" t="inlineStr">
        <is>
          <t>Control</t>
        </is>
      </c>
      <c r="E3840" s="12" t="inlineStr"/>
      <c r="F3840" s="12" t="inlineStr">
        <is>
          <t>BESS EMS / SCADA and revenue metering</t>
        </is>
      </c>
      <c r="G3840" s="12" t="inlineStr"/>
      <c r="H3840" s="12" t="inlineStr">
        <is>
          <t>BESS EMS / SCADA and revenue metering</t>
        </is>
      </c>
      <c r="I3840" s="12" t="inlineStr">
        <is>
          <t>Control</t>
        </is>
      </c>
      <c r="J3840" s="12" t="inlineStr">
        <is>
          <t>ARMOR-X MC-HL 600 V control, Cu #14 AWG (Class I Div 2)</t>
        </is>
      </c>
      <c r="K3840" s="12" t="inlineStr">
        <is>
          <t>CTAX|7/C|14</t>
        </is>
      </c>
      <c r="L3840" s="12" t="inlineStr">
        <is>
          <t>7/C</t>
        </is>
      </c>
      <c r="M3840" s="12" t="inlineStr">
        <is>
          <t>14</t>
        </is>
      </c>
      <c r="N3840" s="12" t="n">
        <v>1</v>
      </c>
      <c r="O3840" s="12" t="n">
        <v>1</v>
      </c>
      <c r="P3840" s="12" t="n"/>
      <c r="Q3840" s="12" t="n"/>
      <c r="R3840" s="12" t="n"/>
      <c r="S3840" s="12" t="inlineStr">
        <is>
          <t>Tray</t>
        </is>
      </c>
      <c r="T3840" s="15" t="n">
        <v>0</v>
      </c>
      <c r="U3840" s="15" t="n">
        <v>32</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H-C-0003</t>
        </is>
      </c>
      <c r="B3841" s="12" t="inlineStr">
        <is>
          <t>H</t>
        </is>
      </c>
      <c r="C3841" s="12" t="inlineStr">
        <is>
          <t>BESS</t>
        </is>
      </c>
      <c r="D3841" s="12" t="inlineStr">
        <is>
          <t>Motor 1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318</v>
      </c>
      <c r="U3841" s="15" t="n">
        <v>103</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H-C-0004</t>
        </is>
      </c>
      <c r="B3842" s="12" t="inlineStr">
        <is>
          <t>H</t>
        </is>
      </c>
      <c r="C3842" s="12" t="inlineStr">
        <is>
          <t>BESS</t>
        </is>
      </c>
      <c r="D3842" s="12" t="inlineStr">
        <is>
          <t>Motor 2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103</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H-C-0005</t>
        </is>
      </c>
      <c r="B3843" s="12" t="inlineStr">
        <is>
          <t>H</t>
        </is>
      </c>
      <c r="C3843" s="12" t="inlineStr">
        <is>
          <t>BESS</t>
        </is>
      </c>
      <c r="D3843" s="12" t="inlineStr">
        <is>
          <t>Motor 1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178</v>
      </c>
      <c r="U3843" s="15" t="n">
        <v>123</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H-C-0006</t>
        </is>
      </c>
      <c r="B3844" s="12" t="inlineStr">
        <is>
          <t>H</t>
        </is>
      </c>
      <c r="C3844" s="12" t="inlineStr">
        <is>
          <t>BESS</t>
        </is>
      </c>
      <c r="D3844" s="12" t="inlineStr">
        <is>
          <t>Motor 2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123</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H-C-0007</t>
        </is>
      </c>
      <c r="B3845" s="12" t="inlineStr">
        <is>
          <t>H</t>
        </is>
      </c>
      <c r="C3845" s="12" t="inlineStr">
        <is>
          <t>BESS</t>
        </is>
      </c>
      <c r="D3845" s="12" t="inlineStr">
        <is>
          <t>Motor 1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74</v>
      </c>
      <c r="U3845" s="15" t="n">
        <v>107</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H-C-0008</t>
        </is>
      </c>
      <c r="B3846" s="12" t="inlineStr">
        <is>
          <t>H</t>
        </is>
      </c>
      <c r="C3846" s="12" t="inlineStr">
        <is>
          <t>BESS</t>
        </is>
      </c>
      <c r="D3846" s="12" t="inlineStr">
        <is>
          <t>Motor 2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107</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H-C-0009</t>
        </is>
      </c>
      <c r="B3847" s="12" t="inlineStr">
        <is>
          <t>H</t>
        </is>
      </c>
      <c r="C3847" s="12" t="inlineStr">
        <is>
          <t>BESS</t>
        </is>
      </c>
      <c r="D3847" s="12" t="inlineStr">
        <is>
          <t>Motor 1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318</v>
      </c>
      <c r="U3847" s="15" t="n">
        <v>161</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H-C-0010</t>
        </is>
      </c>
      <c r="B3848" s="12" t="inlineStr">
        <is>
          <t>H</t>
        </is>
      </c>
      <c r="C3848" s="12" t="inlineStr">
        <is>
          <t>BESS</t>
        </is>
      </c>
      <c r="D3848" s="12" t="inlineStr">
        <is>
          <t>Motor 2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161</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H-C-0011</t>
        </is>
      </c>
      <c r="B3849" s="12" t="inlineStr">
        <is>
          <t>H</t>
        </is>
      </c>
      <c r="C3849" s="12" t="inlineStr">
        <is>
          <t>BESS</t>
        </is>
      </c>
      <c r="D3849" s="12" t="inlineStr">
        <is>
          <t>Motor 1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178</v>
      </c>
      <c r="U3849" s="15" t="n">
        <v>181</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H-C-0012</t>
        </is>
      </c>
      <c r="B3850" s="12" t="inlineStr">
        <is>
          <t>H</t>
        </is>
      </c>
      <c r="C3850" s="12" t="inlineStr">
        <is>
          <t>BESS</t>
        </is>
      </c>
      <c r="D3850" s="12" t="inlineStr">
        <is>
          <t>Motor 2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181</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H-C-0013</t>
        </is>
      </c>
      <c r="B3851" s="12" t="inlineStr">
        <is>
          <t>H</t>
        </is>
      </c>
      <c r="C3851" s="12" t="inlineStr">
        <is>
          <t>BESS</t>
        </is>
      </c>
      <c r="D3851" s="12" t="inlineStr">
        <is>
          <t>Motor 1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74</v>
      </c>
      <c r="U3851" s="15" t="n">
        <v>165</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H-C-0014</t>
        </is>
      </c>
      <c r="B3852" s="12" t="inlineStr">
        <is>
          <t>H</t>
        </is>
      </c>
      <c r="C3852" s="12" t="inlineStr">
        <is>
          <t>BESS</t>
        </is>
      </c>
      <c r="D3852" s="12" t="inlineStr">
        <is>
          <t>Motor 2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74</v>
      </c>
      <c r="U3852" s="15" t="n">
        <v>165</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H-C-0015</t>
        </is>
      </c>
      <c r="B3853" s="12" t="inlineStr">
        <is>
          <t>H</t>
        </is>
      </c>
      <c r="C3853" s="12" t="inlineStr">
        <is>
          <t>BESS</t>
        </is>
      </c>
      <c r="D3853" s="12" t="inlineStr">
        <is>
          <t>Motor 1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318</v>
      </c>
      <c r="U3853" s="15" t="n">
        <v>219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H-C-0016</t>
        </is>
      </c>
      <c r="B3854" s="12" t="inlineStr">
        <is>
          <t>H</t>
        </is>
      </c>
      <c r="C3854" s="12" t="inlineStr">
        <is>
          <t>BESS</t>
        </is>
      </c>
      <c r="D3854" s="12" t="inlineStr">
        <is>
          <t>Motor 2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318</v>
      </c>
      <c r="U3854" s="15" t="n">
        <v>219</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H-C-0017</t>
        </is>
      </c>
      <c r="B3855" s="12" t="inlineStr">
        <is>
          <t>H</t>
        </is>
      </c>
      <c r="C3855" s="12" t="inlineStr">
        <is>
          <t>BESS</t>
        </is>
      </c>
      <c r="D3855" s="12" t="inlineStr">
        <is>
          <t>Motor 1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178</v>
      </c>
      <c r="U3855" s="15" t="n">
        <v>239</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H-C-0018</t>
        </is>
      </c>
      <c r="B3856" s="12" t="inlineStr">
        <is>
          <t>H</t>
        </is>
      </c>
      <c r="C3856" s="12" t="inlineStr">
        <is>
          <t>BESS</t>
        </is>
      </c>
      <c r="D3856" s="12" t="inlineStr">
        <is>
          <t>Motor 2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178</v>
      </c>
      <c r="U3856" s="15" t="n">
        <v>239</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H-C-0019</t>
        </is>
      </c>
      <c r="B3857" s="12" t="inlineStr">
        <is>
          <t>H</t>
        </is>
      </c>
      <c r="C3857" s="12" t="inlineStr">
        <is>
          <t>BESS</t>
        </is>
      </c>
      <c r="D3857" s="12" t="inlineStr">
        <is>
          <t>Motor 1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380</v>
      </c>
      <c r="U3857" s="15" t="n">
        <v>149</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H-C-0020</t>
        </is>
      </c>
      <c r="B3858" s="12" t="inlineStr">
        <is>
          <t>H</t>
        </is>
      </c>
      <c r="C3858" s="12" t="inlineStr">
        <is>
          <t>BESS</t>
        </is>
      </c>
      <c r="D3858" s="12" t="inlineStr">
        <is>
          <t>Motor 2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149</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H-C-0021</t>
        </is>
      </c>
      <c r="B3859" s="12" t="inlineStr">
        <is>
          <t>H</t>
        </is>
      </c>
      <c r="C3859" s="12" t="inlineStr">
        <is>
          <t>BESS</t>
        </is>
      </c>
      <c r="D3859" s="12" t="inlineStr">
        <is>
          <t>Motor 1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620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H-C-0022</t>
        </is>
      </c>
      <c r="B3860" s="12" t="inlineStr">
        <is>
          <t>H</t>
        </is>
      </c>
      <c r="C3860" s="12" t="inlineStr">
        <is>
          <t>BESS</t>
        </is>
      </c>
      <c r="D3860" s="12" t="inlineStr">
        <is>
          <t>Motor 2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91</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H-C-0023</t>
        </is>
      </c>
      <c r="B3861" s="12" t="inlineStr">
        <is>
          <t>H</t>
        </is>
      </c>
      <c r="C3861" s="12" t="inlineStr">
        <is>
          <t>BESS</t>
        </is>
      </c>
      <c r="D3861" s="12" t="inlineStr">
        <is>
          <t>Motor 1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500</v>
      </c>
      <c r="U3861" s="15" t="n">
        <v>91</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H-C-0024</t>
        </is>
      </c>
      <c r="B3862" s="12" t="inlineStr">
        <is>
          <t>H</t>
        </is>
      </c>
      <c r="C3862" s="12" t="inlineStr">
        <is>
          <t>BESS</t>
        </is>
      </c>
      <c r="D3862" s="12" t="inlineStr">
        <is>
          <t>Motor 2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91</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H-C-0025</t>
        </is>
      </c>
      <c r="B3863" s="12" t="inlineStr">
        <is>
          <t>H</t>
        </is>
      </c>
      <c r="C3863" s="12" t="inlineStr">
        <is>
          <t>BESS</t>
        </is>
      </c>
      <c r="D3863" s="12" t="inlineStr">
        <is>
          <t>Motor 1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380</v>
      </c>
      <c r="U3863" s="15" t="n">
        <v>91</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H-C-0026</t>
        </is>
      </c>
      <c r="B3864" s="12" t="inlineStr">
        <is>
          <t>H</t>
        </is>
      </c>
      <c r="C3864" s="12" t="inlineStr">
        <is>
          <t>BESS</t>
        </is>
      </c>
      <c r="D3864" s="12" t="inlineStr">
        <is>
          <t>Motor 2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91</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H-C-0027</t>
        </is>
      </c>
      <c r="B3865" s="12" t="inlineStr">
        <is>
          <t>H</t>
        </is>
      </c>
      <c r="C3865" s="12" t="inlineStr">
        <is>
          <t>BESS</t>
        </is>
      </c>
      <c r="D3865" s="12" t="inlineStr">
        <is>
          <t>Motor 1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620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H-C-0028</t>
        </is>
      </c>
      <c r="B3866" s="12" t="inlineStr">
        <is>
          <t>H</t>
        </is>
      </c>
      <c r="C3866" s="12" t="inlineStr">
        <is>
          <t>BESS</t>
        </is>
      </c>
      <c r="D3866" s="12" t="inlineStr">
        <is>
          <t>Motor 2 of 2: control / local station</t>
        </is>
      </c>
      <c r="E3866" s="12" t="inlineStr"/>
      <c r="F3866" s="12" t="inlineStr">
        <is>
          <t>BESS auxiliary transformer</t>
        </is>
      </c>
      <c r="G3866" s="12" t="inlineStr"/>
      <c r="H3866" s="12" t="inlineStr">
        <is>
          <t>BESS PCS / MV skid</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Duct bank</t>
        </is>
      </c>
      <c r="T3866" s="15" t="n">
        <v>620</v>
      </c>
      <c r="U3866" s="15" t="n">
        <v>37</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H-C-0029</t>
        </is>
      </c>
      <c r="B3867" s="12" t="inlineStr">
        <is>
          <t>H</t>
        </is>
      </c>
      <c r="C3867" s="12" t="inlineStr">
        <is>
          <t>BESS</t>
        </is>
      </c>
      <c r="D3867" s="12" t="inlineStr">
        <is>
          <t>Motor 1 of 2: control / local station</t>
        </is>
      </c>
      <c r="E3867" s="12" t="inlineStr"/>
      <c r="F3867" s="12" t="inlineStr">
        <is>
          <t>BESS auxiliary transformer</t>
        </is>
      </c>
      <c r="G3867" s="12" t="inlineStr"/>
      <c r="H3867" s="12" t="inlineStr">
        <is>
          <t>BESS PCS / MV skid</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Duct bank</t>
        </is>
      </c>
      <c r="T3867" s="15" t="n">
        <v>500</v>
      </c>
      <c r="U3867" s="15" t="n">
        <v>37</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H-C-0030</t>
        </is>
      </c>
      <c r="B3868" s="12" t="inlineStr">
        <is>
          <t>H</t>
        </is>
      </c>
      <c r="C3868" s="12" t="inlineStr">
        <is>
          <t>BESS</t>
        </is>
      </c>
      <c r="D3868" s="12" t="inlineStr">
        <is>
          <t>Motor 2 of 2: control / local station</t>
        </is>
      </c>
      <c r="E3868" s="12" t="inlineStr"/>
      <c r="F3868" s="12" t="inlineStr">
        <is>
          <t>BESS auxiliary transformer</t>
        </is>
      </c>
      <c r="G3868" s="12" t="inlineStr"/>
      <c r="H3868" s="12" t="inlineStr">
        <is>
          <t>BESS PCS / MV skid</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Duct bank</t>
        </is>
      </c>
      <c r="T3868" s="15" t="n">
        <v>500</v>
      </c>
      <c r="U3868" s="15" t="n">
        <v>37</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H-C-0031</t>
        </is>
      </c>
      <c r="B3869" s="12" t="inlineStr">
        <is>
          <t>H</t>
        </is>
      </c>
      <c r="C3869" s="12" t="inlineStr">
        <is>
          <t>BESS</t>
        </is>
      </c>
      <c r="D3869" s="12" t="inlineStr">
        <is>
          <t>Motor 1 of 2: control / local station</t>
        </is>
      </c>
      <c r="E3869" s="12" t="inlineStr"/>
      <c r="F3869" s="12" t="inlineStr">
        <is>
          <t>BESS auxiliary transformer</t>
        </is>
      </c>
      <c r="G3869" s="12" t="inlineStr"/>
      <c r="H3869" s="12" t="inlineStr">
        <is>
          <t>BESS PCS / MV skid</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Duct bank</t>
        </is>
      </c>
      <c r="T3869" s="15" t="n">
        <v>380</v>
      </c>
      <c r="U3869" s="15" t="n">
        <v>37</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H-C-0032</t>
        </is>
      </c>
      <c r="B3870" s="12" t="inlineStr">
        <is>
          <t>H</t>
        </is>
      </c>
      <c r="C3870" s="12" t="inlineStr">
        <is>
          <t>BESS</t>
        </is>
      </c>
      <c r="D3870" s="12" t="inlineStr">
        <is>
          <t>Motor 2 of 2: control / local station</t>
        </is>
      </c>
      <c r="E3870" s="12" t="inlineStr"/>
      <c r="F3870" s="12" t="inlineStr">
        <is>
          <t>BESS auxiliary transformer</t>
        </is>
      </c>
      <c r="G3870" s="12" t="inlineStr"/>
      <c r="H3870" s="12" t="inlineStr">
        <is>
          <t>BESS PCS / MV skid</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380</v>
      </c>
      <c r="U3870" s="15" t="n">
        <v>37</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H-C-0033</t>
        </is>
      </c>
      <c r="B3871" s="12" t="inlineStr">
        <is>
          <t>H</t>
        </is>
      </c>
      <c r="C3871" s="12" t="inlineStr">
        <is>
          <t>BESS</t>
        </is>
      </c>
      <c r="D3871" s="12" t="inlineStr">
        <is>
          <t>Control</t>
        </is>
      </c>
      <c r="E3871" s="12" t="inlineStr"/>
      <c r="F3871" s="12" t="inlineStr">
        <is>
          <t>BESS EMS / SCADA and revenue metering</t>
        </is>
      </c>
      <c r="G3871" s="12" t="inlineStr"/>
      <c r="H3871" s="12" t="inlineStr">
        <is>
          <t>BESS auxiliary transformer</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5" t="n">
        <v>38</v>
      </c>
      <c r="U3871" s="15" t="n">
        <v>32</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H-C-0034</t>
        </is>
      </c>
      <c r="B3872" s="12" t="inlineStr">
        <is>
          <t>H</t>
        </is>
      </c>
      <c r="C3872" s="12" t="inlineStr">
        <is>
          <t>BESS</t>
        </is>
      </c>
      <c r="D3872" s="12" t="inlineStr">
        <is>
          <t>Control</t>
        </is>
      </c>
      <c r="E3872" s="12" t="inlineStr"/>
      <c r="F3872" s="12" t="inlineStr">
        <is>
          <t>BESS EMS / SCADA and revenue metering</t>
        </is>
      </c>
      <c r="G3872" s="12" t="inlineStr"/>
      <c r="H3872" s="12" t="inlineStr">
        <is>
          <t>BESS auxiliary transformer</t>
        </is>
      </c>
      <c r="I3872" s="12" t="inlineStr">
        <is>
          <t>Control</t>
        </is>
      </c>
      <c r="J3872" s="12" t="inlineStr">
        <is>
          <t>Control cable 600 V Type TC-ER, Cu #14 AWG, PVC jacket</t>
        </is>
      </c>
      <c r="K3872" s="12" t="inlineStr">
        <is>
          <t>CT|12/C|14</t>
        </is>
      </c>
      <c r="L3872" s="12" t="inlineStr">
        <is>
          <t>12/C</t>
        </is>
      </c>
      <c r="M3872" s="12" t="inlineStr">
        <is>
          <t>14</t>
        </is>
      </c>
      <c r="N3872" s="12" t="n">
        <v>1</v>
      </c>
      <c r="O3872" s="12" t="n">
        <v>1</v>
      </c>
      <c r="P3872" s="12" t="n"/>
      <c r="Q3872" s="12" t="n"/>
      <c r="R3872" s="12" t="n"/>
      <c r="S3872" s="12" t="inlineStr">
        <is>
          <t>Tray</t>
        </is>
      </c>
      <c r="T3872" s="15" t="n">
        <v>38</v>
      </c>
      <c r="U3872" s="15" t="n">
        <v>32</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H-C-0035</t>
        </is>
      </c>
      <c r="B3873" s="12" t="inlineStr">
        <is>
          <t>H</t>
        </is>
      </c>
      <c r="C3873" s="12" t="inlineStr">
        <is>
          <t>BESS</t>
        </is>
      </c>
      <c r="D3873" s="12" t="inlineStr">
        <is>
          <t>CT / VT</t>
        </is>
      </c>
      <c r="E3873" s="12" t="inlineStr"/>
      <c r="F3873" s="12" t="inlineStr">
        <is>
          <t>BESS EMS / SCADA and revenue metering</t>
        </is>
      </c>
      <c r="G3873" s="12" t="inlineStr"/>
      <c r="H3873" s="12" t="inlineStr">
        <is>
          <t>BESS auxiliary transformer</t>
        </is>
      </c>
      <c r="I3873" s="12" t="inlineStr">
        <is>
          <t>Control</t>
        </is>
      </c>
      <c r="J3873" s="12" t="inlineStr">
        <is>
          <t>Control cable 600 V Type TC-ER, Cu #10 AWG (CT / VT circuits)</t>
        </is>
      </c>
      <c r="K3873" s="12" t="inlineStr">
        <is>
          <t>CTCT|4/C|10</t>
        </is>
      </c>
      <c r="L3873" s="12" t="inlineStr">
        <is>
          <t>4/C</t>
        </is>
      </c>
      <c r="M3873" s="12" t="inlineStr">
        <is>
          <t>10</t>
        </is>
      </c>
      <c r="N3873" s="12" t="n">
        <v>1</v>
      </c>
      <c r="O3873" s="12" t="n">
        <v>1</v>
      </c>
      <c r="P3873" s="12" t="n"/>
      <c r="Q3873" s="12" t="n"/>
      <c r="R3873" s="12" t="n"/>
      <c r="S3873" s="12" t="inlineStr">
        <is>
          <t>Tray</t>
        </is>
      </c>
      <c r="T3873" s="15" t="n">
        <v>38</v>
      </c>
      <c r="U3873" s="15" t="n">
        <v>32</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H-C-0036</t>
        </is>
      </c>
      <c r="B3874" s="12" t="inlineStr">
        <is>
          <t>H</t>
        </is>
      </c>
      <c r="C3874" s="12" t="inlineStr">
        <is>
          <t>BESS</t>
        </is>
      </c>
      <c r="D3874" s="12" t="inlineStr">
        <is>
          <t>CT / VT</t>
        </is>
      </c>
      <c r="E3874" s="12" t="inlineStr"/>
      <c r="F3874" s="12" t="inlineStr">
        <is>
          <t>BESS EMS / SCADA and revenue metering</t>
        </is>
      </c>
      <c r="G3874" s="12" t="inlineStr"/>
      <c r="H3874" s="12" t="inlineStr">
        <is>
          <t>BESS auxiliary transformer</t>
        </is>
      </c>
      <c r="I3874" s="12" t="inlineStr">
        <is>
          <t>Control</t>
        </is>
      </c>
      <c r="J3874" s="12" t="inlineStr">
        <is>
          <t>Control cable 600 V Type TC-ER, Cu #10 AWG (CT / VT circuits)</t>
        </is>
      </c>
      <c r="K3874" s="12" t="inlineStr">
        <is>
          <t>CTCT|4/C|10</t>
        </is>
      </c>
      <c r="L3874" s="12" t="inlineStr">
        <is>
          <t>4/C</t>
        </is>
      </c>
      <c r="M3874" s="12" t="inlineStr">
        <is>
          <t>10</t>
        </is>
      </c>
      <c r="N3874" s="12" t="n">
        <v>1</v>
      </c>
      <c r="O3874" s="12" t="n">
        <v>1</v>
      </c>
      <c r="P3874" s="12" t="n"/>
      <c r="Q3874" s="12" t="n"/>
      <c r="R3874" s="12" t="n"/>
      <c r="S3874" s="12" t="inlineStr">
        <is>
          <t>Tray</t>
        </is>
      </c>
      <c r="T3874" s="15" t="n">
        <v>38</v>
      </c>
      <c r="U3874" s="15" t="n">
        <v>32</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H-C-0037</t>
        </is>
      </c>
      <c r="B3875" s="12" t="inlineStr">
        <is>
          <t>H</t>
        </is>
      </c>
      <c r="C3875" s="12" t="inlineStr">
        <is>
          <t>BESS</t>
        </is>
      </c>
      <c r="D3875" s="12" t="inlineStr">
        <is>
          <t>Control</t>
        </is>
      </c>
      <c r="E3875" s="12" t="inlineStr"/>
      <c r="F3875" s="12" t="inlineStr">
        <is>
          <t>BESS EMS / SCADA and revenue metering</t>
        </is>
      </c>
      <c r="G3875" s="12" t="inlineStr">
        <is>
          <t>BESS</t>
        </is>
      </c>
      <c r="H3875" s="12" t="inlineStr">
        <is>
          <t>BESS blocks: 30 containers + 15 PCS / MV skids</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5" t="n">
        <v>336</v>
      </c>
      <c r="U3875" s="15" t="n">
        <v>32</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H-C-0038</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5" t="n">
        <v>10</v>
      </c>
      <c r="U3876" s="15" t="n">
        <v>150</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H-C-0039</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5" t="n">
        <v>0</v>
      </c>
      <c r="U3877" s="15" t="n">
        <v>160</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H-C-0040</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200</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H-C-0041</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200</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H-C-0042</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168</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H-C-0043</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168</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H-C-0044</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10</v>
      </c>
      <c r="U3882" s="15" t="n">
        <v>266</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H-C-0045</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276</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H-C-0046</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316</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H-C-0047</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316</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H-C-0048</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284</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H-C-0049</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5" t="n">
        <v>1501</v>
      </c>
      <c r="U3887" s="15" t="n">
        <v>241</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H-C-0050</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0</v>
      </c>
      <c r="U3888" s="15" t="n">
        <v>290</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H-C-0051</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290</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H-C-0052</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290</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H-C-0053</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290</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H-C-0054</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290</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H-C-0055</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42</v>
      </c>
      <c r="U3893" s="15" t="n">
        <v>234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H-C-0056</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H-C-0057</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174</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H-C-0058</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174</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H-C-0059</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174</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H-C-0060</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174</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H-C-0061</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174</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H-C-0062</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H-C-0063</t>
        </is>
      </c>
      <c r="B3901" s="12" t="inlineStr">
        <is>
          <t>H</t>
        </is>
      </c>
      <c r="C3901" s="12" t="inlineStr">
        <is>
          <t>BESS</t>
        </is>
      </c>
      <c r="D3901" s="12" t="inlineStr">
        <is>
          <t>Control</t>
        </is>
      </c>
      <c r="E3901" s="12" t="inlineStr"/>
      <c r="F3901" s="12" t="inlineStr">
        <is>
          <t>BESS PCS / MV skid</t>
        </is>
      </c>
      <c r="G3901" s="12" t="inlineStr"/>
      <c r="H3901" s="12" t="inlineStr">
        <is>
          <t>BESS container (ISO 40 ft high cube)</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Tray</t>
        </is>
      </c>
      <c r="T3901" s="15" t="n">
        <v>0</v>
      </c>
      <c r="U3901" s="15" t="n">
        <v>62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H-C-0064</t>
        </is>
      </c>
      <c r="B3902" s="12" t="inlineStr">
        <is>
          <t>H</t>
        </is>
      </c>
      <c r="C3902" s="12" t="inlineStr">
        <is>
          <t>BESS</t>
        </is>
      </c>
      <c r="D3902" s="12" t="inlineStr">
        <is>
          <t>Control</t>
        </is>
      </c>
      <c r="E3902" s="12" t="inlineStr"/>
      <c r="F3902" s="12" t="inlineStr">
        <is>
          <t>BESS PCS / MV skid</t>
        </is>
      </c>
      <c r="G3902" s="12" t="inlineStr"/>
      <c r="H3902" s="12" t="inlineStr">
        <is>
          <t>BESS container (ISO 40 ft high cube)</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Tray</t>
        </is>
      </c>
      <c r="T3902" s="15" t="n">
        <v>0</v>
      </c>
      <c r="U3902" s="15" t="n">
        <v>62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H-C-0065</t>
        </is>
      </c>
      <c r="B3903" s="12" t="inlineStr">
        <is>
          <t>H</t>
        </is>
      </c>
      <c r="C3903" s="12" t="inlineStr">
        <is>
          <t>BESS</t>
        </is>
      </c>
      <c r="D3903" s="12" t="inlineStr">
        <is>
          <t>Control</t>
        </is>
      </c>
      <c r="E3903" s="12" t="inlineStr"/>
      <c r="F3903" s="12" t="inlineStr">
        <is>
          <t>BESS PCS / MV skid</t>
        </is>
      </c>
      <c r="G3903" s="12" t="inlineStr"/>
      <c r="H3903" s="12" t="inlineStr">
        <is>
          <t>BESS container (ISO 40 ft high cube)</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Tray</t>
        </is>
      </c>
      <c r="T3903" s="15" t="n">
        <v>0</v>
      </c>
      <c r="U3903" s="15" t="n">
        <v>62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H-C-0066</t>
        </is>
      </c>
      <c r="B3904" s="12" t="inlineStr">
        <is>
          <t>H</t>
        </is>
      </c>
      <c r="C3904" s="12" t="inlineStr">
        <is>
          <t>BESS</t>
        </is>
      </c>
      <c r="D3904" s="12" t="inlineStr">
        <is>
          <t>Control</t>
        </is>
      </c>
      <c r="E3904" s="12" t="inlineStr"/>
      <c r="F3904" s="12" t="inlineStr">
        <is>
          <t>BESS PCS / MV skid</t>
        </is>
      </c>
      <c r="G3904" s="12" t="inlineStr"/>
      <c r="H3904" s="12" t="inlineStr">
        <is>
          <t>BESS container (ISO 40 ft high cube)</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Tray</t>
        </is>
      </c>
      <c r="T3904" s="15" t="n">
        <v>0</v>
      </c>
      <c r="U3904" s="15" t="n">
        <v>62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H-C-0067</t>
        </is>
      </c>
      <c r="B3905" s="12" t="inlineStr">
        <is>
          <t>H</t>
        </is>
      </c>
      <c r="C3905" s="12" t="inlineStr">
        <is>
          <t>BESS</t>
        </is>
      </c>
      <c r="D3905" s="12" t="inlineStr">
        <is>
          <t>Control</t>
        </is>
      </c>
      <c r="E3905" s="12" t="inlineStr"/>
      <c r="F3905" s="12" t="inlineStr">
        <is>
          <t>BESS PCS / MV skid</t>
        </is>
      </c>
      <c r="G3905" s="12" t="inlineStr"/>
      <c r="H3905" s="12" t="inlineStr">
        <is>
          <t>BESS container (ISO 40 ft high cube)</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Tray</t>
        </is>
      </c>
      <c r="T3905" s="15" t="n">
        <v>0</v>
      </c>
      <c r="U3905" s="15" t="n">
        <v>62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H-C-0068</t>
        </is>
      </c>
      <c r="B3906" s="12" t="inlineStr">
        <is>
          <t>H</t>
        </is>
      </c>
      <c r="C3906" s="12" t="inlineStr">
        <is>
          <t>BESS</t>
        </is>
      </c>
      <c r="D3906" s="12" t="inlineStr">
        <is>
          <t>Motor 1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H-C-0069</t>
        </is>
      </c>
      <c r="B3907" s="12" t="inlineStr">
        <is>
          <t>H</t>
        </is>
      </c>
      <c r="C3907" s="12" t="inlineStr">
        <is>
          <t>BESS</t>
        </is>
      </c>
      <c r="D3907" s="12" t="inlineStr">
        <is>
          <t>Motor 2 of 6: control / local station</t>
        </is>
      </c>
      <c r="E3907" s="12" t="inlineStr"/>
      <c r="F3907" s="12" t="inlineStr">
        <is>
          <t>BESS auxiliary transformer</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180</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H-C-0070</t>
        </is>
      </c>
      <c r="B3908" s="12" t="inlineStr">
        <is>
          <t>H</t>
        </is>
      </c>
      <c r="C3908" s="12" t="inlineStr">
        <is>
          <t>BESS</t>
        </is>
      </c>
      <c r="D3908" s="12" t="inlineStr">
        <is>
          <t>Motor 3 of 6: control / local station</t>
        </is>
      </c>
      <c r="E3908" s="12" t="inlineStr"/>
      <c r="F3908" s="12" t="inlineStr">
        <is>
          <t>BESS auxiliary transformer</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CT|7/C|14</t>
        </is>
      </c>
      <c r="L3908" s="12" t="inlineStr">
        <is>
          <t>7/C</t>
        </is>
      </c>
      <c r="M3908" s="12" t="inlineStr">
        <is>
          <t>14</t>
        </is>
      </c>
      <c r="N3908" s="12" t="n">
        <v>1</v>
      </c>
      <c r="O3908" s="12" t="n">
        <v>1</v>
      </c>
      <c r="P3908" s="12" t="n"/>
      <c r="Q3908" s="12" t="n"/>
      <c r="R3908" s="12" t="n"/>
      <c r="S3908" s="12" t="inlineStr">
        <is>
          <t>Duct bank</t>
        </is>
      </c>
      <c r="T3908" s="15" t="n">
        <v>180</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H-C-0071</t>
        </is>
      </c>
      <c r="B3909" s="12" t="inlineStr">
        <is>
          <t>H</t>
        </is>
      </c>
      <c r="C3909" s="12" t="inlineStr">
        <is>
          <t>BESS</t>
        </is>
      </c>
      <c r="D3909" s="12" t="inlineStr">
        <is>
          <t>Motor 4 of 6: control / local station</t>
        </is>
      </c>
      <c r="E3909" s="12" t="inlineStr"/>
      <c r="F3909" s="12" t="inlineStr">
        <is>
          <t>BESS auxiliary transformer</t>
        </is>
      </c>
      <c r="G3909" s="12" t="inlineStr">
        <is>
          <t>BESS MPT</t>
        </is>
      </c>
      <c r="H3909" s="12" t="inlineStr">
        <is>
          <t>BESS main power transformer 34.5/230 kV (to D4 upper)</t>
        </is>
      </c>
      <c r="I3909" s="12" t="inlineStr">
        <is>
          <t>Control</t>
        </is>
      </c>
      <c r="J3909" s="12" t="inlineStr">
        <is>
          <t>Control cable 600 V Type TC-ER, Cu #14 AWG, PVC jacket</t>
        </is>
      </c>
      <c r="K3909" s="12" t="inlineStr">
        <is>
          <t>CT|7/C|14</t>
        </is>
      </c>
      <c r="L3909" s="12" t="inlineStr">
        <is>
          <t>7/C</t>
        </is>
      </c>
      <c r="M3909" s="12" t="inlineStr">
        <is>
          <t>14</t>
        </is>
      </c>
      <c r="N3909" s="12" t="n">
        <v>1</v>
      </c>
      <c r="O3909" s="12" t="n">
        <v>1</v>
      </c>
      <c r="P3909" s="12" t="n"/>
      <c r="Q3909" s="12" t="n"/>
      <c r="R3909" s="12" t="n"/>
      <c r="S3909" s="12" t="inlineStr">
        <is>
          <t>Duct bank</t>
        </is>
      </c>
      <c r="T3909" s="15" t="n">
        <v>180</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H-C-0072</t>
        </is>
      </c>
      <c r="B3910" s="12" t="inlineStr">
        <is>
          <t>H</t>
        </is>
      </c>
      <c r="C3910" s="12" t="inlineStr">
        <is>
          <t>BESS</t>
        </is>
      </c>
      <c r="D3910" s="12" t="inlineStr">
        <is>
          <t>Motor 5 of 6: control / local station</t>
        </is>
      </c>
      <c r="E3910" s="12" t="inlineStr"/>
      <c r="F3910" s="12" t="inlineStr">
        <is>
          <t>BESS auxiliary transformer</t>
        </is>
      </c>
      <c r="G3910" s="12" t="inlineStr">
        <is>
          <t>BESS MPT</t>
        </is>
      </c>
      <c r="H3910" s="12" t="inlineStr">
        <is>
          <t>BESS main power transformer 34.5/230 kV (to D4 upper)</t>
        </is>
      </c>
      <c r="I3910" s="12" t="inlineStr">
        <is>
          <t>Control</t>
        </is>
      </c>
      <c r="J3910" s="12" t="inlineStr">
        <is>
          <t>Control cable 600 V Type TC-ER, Cu #14 AWG, PVC jacket</t>
        </is>
      </c>
      <c r="K3910" s="12" t="inlineStr">
        <is>
          <t>CT|7/C|14</t>
        </is>
      </c>
      <c r="L3910" s="12" t="inlineStr">
        <is>
          <t>7/C</t>
        </is>
      </c>
      <c r="M3910" s="12" t="inlineStr">
        <is>
          <t>14</t>
        </is>
      </c>
      <c r="N3910" s="12" t="n">
        <v>1</v>
      </c>
      <c r="O3910" s="12" t="n">
        <v>1</v>
      </c>
      <c r="P3910" s="12" t="n"/>
      <c r="Q3910" s="12" t="n"/>
      <c r="R3910" s="12" t="n"/>
      <c r="S3910" s="12" t="inlineStr">
        <is>
          <t>Duct bank</t>
        </is>
      </c>
      <c r="T3910" s="15" t="n">
        <v>180</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H-C-0073</t>
        </is>
      </c>
      <c r="B3911" s="12" t="inlineStr">
        <is>
          <t>H</t>
        </is>
      </c>
      <c r="C3911" s="12" t="inlineStr">
        <is>
          <t>BESS</t>
        </is>
      </c>
      <c r="D3911" s="12" t="inlineStr">
        <is>
          <t>Motor 6 of 6: control / local station</t>
        </is>
      </c>
      <c r="E3911" s="12" t="inlineStr"/>
      <c r="F3911" s="12" t="inlineStr">
        <is>
          <t>BESS auxiliary transformer</t>
        </is>
      </c>
      <c r="G3911" s="12" t="inlineStr">
        <is>
          <t>BESS MPT</t>
        </is>
      </c>
      <c r="H3911" s="12" t="inlineStr">
        <is>
          <t>BESS main power transformer 34.5/230 kV (to D4 upper)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180</v>
      </c>
      <c r="U3911" s="15" t="n">
        <v>32</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H-C-0074</t>
        </is>
      </c>
      <c r="B3912" s="12" t="inlineStr">
        <is>
          <t>H</t>
        </is>
      </c>
      <c r="C3912" s="12" t="inlineStr">
        <is>
          <t>BESS</t>
        </is>
      </c>
      <c r="D3912" s="12" t="inlineStr">
        <is>
          <t>Control</t>
        </is>
      </c>
      <c r="E3912" s="12" t="inlineStr"/>
      <c r="F3912" s="12" t="inlineStr">
        <is>
          <t>BESS EMS / SCADA and revenue metering</t>
        </is>
      </c>
      <c r="G3912" s="12" t="inlineStr">
        <is>
          <t>BESS MPT</t>
        </is>
      </c>
      <c r="H3912" s="12" t="inlineStr">
        <is>
          <t>BESS main power transformer 34.5/230 kV (to D4 upper)</t>
        </is>
      </c>
      <c r="I3912" s="12" t="inlineStr">
        <is>
          <t>Control</t>
        </is>
      </c>
      <c r="J3912" s="12" t="inlineStr">
        <is>
          <t>Control cable 600 V Type TC-ER, Cu #14 AWG, PVC jacket</t>
        </is>
      </c>
      <c r="K3912" s="12" t="inlineStr">
        <is>
          <t>CT|7/C|14</t>
        </is>
      </c>
      <c r="L3912" s="12" t="inlineStr">
        <is>
          <t>7/C</t>
        </is>
      </c>
      <c r="M3912" s="12" t="inlineStr">
        <is>
          <t>14</t>
        </is>
      </c>
      <c r="N3912" s="12" t="n">
        <v>1</v>
      </c>
      <c r="O3912" s="12" t="n">
        <v>1</v>
      </c>
      <c r="P3912" s="12" t="n"/>
      <c r="Q3912" s="12" t="n"/>
      <c r="R3912" s="12" t="n"/>
      <c r="S3912" s="12" t="inlineStr">
        <is>
          <t>Duct bank</t>
        </is>
      </c>
      <c r="T3912" s="15" t="n">
        <v>162</v>
      </c>
      <c r="U3912" s="15" t="n">
        <v>32</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H-C-0075</t>
        </is>
      </c>
      <c r="B3913" s="12" t="inlineStr">
        <is>
          <t>H</t>
        </is>
      </c>
      <c r="C3913" s="12" t="inlineStr">
        <is>
          <t>BESS</t>
        </is>
      </c>
      <c r="D3913" s="12" t="inlineStr">
        <is>
          <t>Control</t>
        </is>
      </c>
      <c r="E3913" s="12" t="inlineStr"/>
      <c r="F3913" s="12" t="inlineStr">
        <is>
          <t>BESS EMS / SCADA and revenue metering</t>
        </is>
      </c>
      <c r="G3913" s="12" t="inlineStr">
        <is>
          <t>BESS MPT</t>
        </is>
      </c>
      <c r="H3913" s="12" t="inlineStr">
        <is>
          <t>BESS main power transformer 34.5/230 kV (to D4 upper)</t>
        </is>
      </c>
      <c r="I3913" s="12" t="inlineStr">
        <is>
          <t>Control</t>
        </is>
      </c>
      <c r="J3913" s="12" t="inlineStr">
        <is>
          <t>Control cable 600 V Type TC-ER, Cu #14 AWG, PVC jacket</t>
        </is>
      </c>
      <c r="K3913" s="12" t="inlineStr">
        <is>
          <t>CT|12/C|14</t>
        </is>
      </c>
      <c r="L3913" s="12" t="inlineStr">
        <is>
          <t>12/C</t>
        </is>
      </c>
      <c r="M3913" s="12" t="inlineStr">
        <is>
          <t>14</t>
        </is>
      </c>
      <c r="N3913" s="12" t="n">
        <v>1</v>
      </c>
      <c r="O3913" s="12" t="n">
        <v>1</v>
      </c>
      <c r="P3913" s="12" t="n"/>
      <c r="Q3913" s="12" t="n"/>
      <c r="R3913" s="12" t="n"/>
      <c r="S3913" s="12" t="inlineStr">
        <is>
          <t>Duct bank</t>
        </is>
      </c>
      <c r="T3913" s="15" t="n">
        <v>162</v>
      </c>
      <c r="U3913" s="15" t="n">
        <v>32</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H-C-0076</t>
        </is>
      </c>
      <c r="B3914" s="12" t="inlineStr">
        <is>
          <t>H</t>
        </is>
      </c>
      <c r="C3914" s="12" t="inlineStr">
        <is>
          <t>BESS</t>
        </is>
      </c>
      <c r="D3914" s="12" t="inlineStr">
        <is>
          <t>CT / VT</t>
        </is>
      </c>
      <c r="E3914" s="12" t="inlineStr"/>
      <c r="F3914" s="12" t="inlineStr">
        <is>
          <t>BESS EMS / SCADA and revenue metering</t>
        </is>
      </c>
      <c r="G3914" s="12" t="inlineStr">
        <is>
          <t>BESS MPT</t>
        </is>
      </c>
      <c r="H3914" s="12" t="inlineStr">
        <is>
          <t>BESS main power transformer 34.5/230 kV (to D4 upper)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162</v>
      </c>
      <c r="U3914" s="15" t="n">
        <v>32</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H-C-0077</t>
        </is>
      </c>
      <c r="B3915" s="12" t="inlineStr">
        <is>
          <t>H</t>
        </is>
      </c>
      <c r="C3915" s="12" t="inlineStr">
        <is>
          <t>BESS</t>
        </is>
      </c>
      <c r="D3915" s="12" t="inlineStr">
        <is>
          <t>CT / VT</t>
        </is>
      </c>
      <c r="E3915" s="12" t="inlineStr"/>
      <c r="F3915" s="12" t="inlineStr">
        <is>
          <t>BESS EMS / SCADA and revenue metering</t>
        </is>
      </c>
      <c r="G3915" s="12" t="inlineStr">
        <is>
          <t>BESS MPT</t>
        </is>
      </c>
      <c r="H3915" s="12" t="inlineStr">
        <is>
          <t>BESS main power transformer 34.5/230 kV (to D4 upper)</t>
        </is>
      </c>
      <c r="I3915" s="12" t="inlineStr">
        <is>
          <t>Control</t>
        </is>
      </c>
      <c r="J3915" s="12" t="inlineStr">
        <is>
          <t>Control cable 600 V Type TC-ER, Cu #10 AWG (CT / VT circuits)</t>
        </is>
      </c>
      <c r="K3915" s="12" t="inlineStr">
        <is>
          <t>CTCT|4/C|10</t>
        </is>
      </c>
      <c r="L3915" s="12" t="inlineStr">
        <is>
          <t>4/C</t>
        </is>
      </c>
      <c r="M3915" s="12" t="inlineStr">
        <is>
          <t>10</t>
        </is>
      </c>
      <c r="N3915" s="12" t="n">
        <v>1</v>
      </c>
      <c r="O3915" s="12" t="n">
        <v>1</v>
      </c>
      <c r="P3915" s="12" t="n"/>
      <c r="Q3915" s="12" t="n"/>
      <c r="R3915" s="12" t="n"/>
      <c r="S3915" s="12" t="inlineStr">
        <is>
          <t>Duct bank</t>
        </is>
      </c>
      <c r="T3915" s="15" t="n">
        <v>162</v>
      </c>
      <c r="U3915" s="15" t="n">
        <v>32</v>
      </c>
      <c r="V3915" s="15">
        <f>ROUNDUP((T3915+U3915+2*'Read Me'!$B$13)*(1+'Read Me'!$B$12),-1)</f>
        <v/>
      </c>
      <c r="W3915" s="15">
        <f>V3915*N3915*O3915</f>
        <v/>
      </c>
      <c r="X3915" s="12">
        <f>IF(LEFT(I3915,2)="MV",2*N3915*IF(L3915="1/C",O3915,1),0)</f>
        <v/>
      </c>
      <c r="Y3915" s="12">
        <f>IF(OR(LEFT(K3915,4)="LVAX",LEFT(K3915,6)="MV15AX",LEFT(K3915,4)="CTAX",LEFT(K3915,2)="W|"),2*N3915*O3915,0)</f>
        <v/>
      </c>
      <c r="Z3915" s="12" t="inlineStr"/>
      <c r="AA3915" s="12">
        <f>N3915*O3915</f>
        <v/>
      </c>
    </row>
    <row r="3916">
      <c r="A3916" s="12" t="inlineStr">
        <is>
          <t>H-C-0078</t>
        </is>
      </c>
      <c r="B3916" s="12" t="inlineStr">
        <is>
          <t>H</t>
        </is>
      </c>
      <c r="C3916" s="12" t="inlineStr">
        <is>
          <t>BESS</t>
        </is>
      </c>
      <c r="D3916" s="12" t="inlineStr">
        <is>
          <t>Control</t>
        </is>
      </c>
      <c r="E3916" s="12" t="inlineStr"/>
      <c r="F3916" s="12" t="inlineStr">
        <is>
          <t>BESS EMS / SCADA and revenue metering</t>
        </is>
      </c>
      <c r="G3916" s="12" t="inlineStr"/>
      <c r="H3916" s="12" t="inlineStr">
        <is>
          <t>CONDITIONAL: grounding transformer</t>
        </is>
      </c>
      <c r="I3916" s="12" t="inlineStr">
        <is>
          <t>Control</t>
        </is>
      </c>
      <c r="J3916" s="12" t="inlineStr">
        <is>
          <t>Control cable 600 V Type TC-ER, Cu #14 AWG, PVC jacket</t>
        </is>
      </c>
      <c r="K3916" s="12" t="inlineStr">
        <is>
          <t>CT|7/C|14</t>
        </is>
      </c>
      <c r="L3916" s="12" t="inlineStr">
        <is>
          <t>7/C</t>
        </is>
      </c>
      <c r="M3916" s="12" t="inlineStr">
        <is>
          <t>14</t>
        </is>
      </c>
      <c r="N3916" s="12" t="n">
        <v>1</v>
      </c>
      <c r="O3916" s="12" t="n">
        <v>1</v>
      </c>
      <c r="P3916" s="12" t="n"/>
      <c r="Q3916" s="12" t="n"/>
      <c r="R3916" s="12" t="n"/>
      <c r="S3916" s="12" t="inlineStr">
        <is>
          <t>Duct bank</t>
        </is>
      </c>
      <c r="T3916" s="15" t="n">
        <v>280</v>
      </c>
      <c r="U3916" s="15" t="n">
        <v>87</v>
      </c>
      <c r="V3916" s="15">
        <f>ROUNDUP((T3916+U3916+2*'Read Me'!$B$13)*(1+'Read Me'!$B$12),-1)</f>
        <v/>
      </c>
      <c r="W3916" s="15">
        <f>V3916*N3916*O3916</f>
        <v/>
      </c>
      <c r="X3916" s="12">
        <f>IF(LEFT(I3916,2)="MV",2*N3916*IF(L3916="1/C",O3916,1),0)</f>
        <v/>
      </c>
      <c r="Y3916" s="12">
        <f>IF(OR(LEFT(K3916,4)="LVAX",LEFT(K3916,6)="MV15AX",LEFT(K3916,4)="CTAX",LEFT(K3916,2)="W|"),2*N3916*O3916,0)</f>
        <v/>
      </c>
      <c r="Z3916" s="12" t="inlineStr"/>
      <c r="AA3916" s="12">
        <f>N3916*O3916</f>
        <v/>
      </c>
    </row>
    <row r="3917">
      <c r="A3917" s="12" t="inlineStr">
        <is>
          <t>H-C-0079</t>
        </is>
      </c>
      <c r="B3917" s="12" t="inlineStr">
        <is>
          <t>H</t>
        </is>
      </c>
      <c r="C3917" s="12" t="inlineStr">
        <is>
          <t>BESS</t>
        </is>
      </c>
      <c r="D3917" s="12" t="inlineStr">
        <is>
          <t>Control</t>
        </is>
      </c>
      <c r="E3917" s="12" t="inlineStr"/>
      <c r="F3917" s="12" t="inlineStr">
        <is>
          <t>BESS EMS / SCADA and revenue metering</t>
        </is>
      </c>
      <c r="G3917" s="12" t="inlineStr"/>
      <c r="H3917" s="12" t="inlineStr">
        <is>
          <t>CONDITIONAL: grounding transformer</t>
        </is>
      </c>
      <c r="I3917" s="12" t="inlineStr">
        <is>
          <t>Control</t>
        </is>
      </c>
      <c r="J3917" s="12" t="inlineStr">
        <is>
          <t>Control cable 600 V Type TC-ER, Cu #14 AWG, PVC jacket</t>
        </is>
      </c>
      <c r="K3917" s="12" t="inlineStr">
        <is>
          <t>CT|12/C|14</t>
        </is>
      </c>
      <c r="L3917" s="12" t="inlineStr">
        <is>
          <t>12/C</t>
        </is>
      </c>
      <c r="M3917" s="12" t="inlineStr">
        <is>
          <t>14</t>
        </is>
      </c>
      <c r="N3917" s="12" t="n">
        <v>1</v>
      </c>
      <c r="O3917" s="12" t="n">
        <v>1</v>
      </c>
      <c r="P3917" s="12" t="n"/>
      <c r="Q3917" s="12" t="n"/>
      <c r="R3917" s="12" t="n"/>
      <c r="S3917" s="12" t="inlineStr">
        <is>
          <t>Duct bank</t>
        </is>
      </c>
      <c r="T3917" s="15" t="n">
        <v>280</v>
      </c>
      <c r="U3917" s="15" t="n">
        <v>87</v>
      </c>
      <c r="V3917" s="15">
        <f>ROUNDUP((T3917+U3917+2*'Read Me'!$B$13)*(1+'Read Me'!$B$12),-1)</f>
        <v/>
      </c>
      <c r="W3917" s="15">
        <f>V3917*N3917*O3917</f>
        <v/>
      </c>
      <c r="X3917" s="12">
        <f>IF(LEFT(I3917,2)="MV",2*N3917*IF(L3917="1/C",O3917,1),0)</f>
        <v/>
      </c>
      <c r="Y3917" s="12">
        <f>IF(OR(LEFT(K3917,4)="LVAX",LEFT(K3917,6)="MV15AX",LEFT(K3917,4)="CTAX",LEFT(K3917,2)="W|"),2*N3917*O3917,0)</f>
        <v/>
      </c>
      <c r="Z3917" s="12" t="inlineStr"/>
      <c r="AA3917" s="12">
        <f>N3917*O3917</f>
        <v/>
      </c>
    </row>
    <row r="3918">
      <c r="A3918" s="12" t="inlineStr">
        <is>
          <t>H-C-0080</t>
        </is>
      </c>
      <c r="B3918" s="12" t="inlineStr">
        <is>
          <t>H</t>
        </is>
      </c>
      <c r="C3918" s="12" t="inlineStr">
        <is>
          <t>BESS</t>
        </is>
      </c>
      <c r="D3918" s="12" t="inlineStr">
        <is>
          <t>CT / VT</t>
        </is>
      </c>
      <c r="E3918" s="12" t="inlineStr"/>
      <c r="F3918" s="12" t="inlineStr">
        <is>
          <t>BESS EMS / SCADA and revenue metering</t>
        </is>
      </c>
      <c r="G3918" s="12" t="inlineStr"/>
      <c r="H3918" s="12" t="inlineStr">
        <is>
          <t>CONDITIONAL: grounding transformer</t>
        </is>
      </c>
      <c r="I3918" s="12" t="inlineStr">
        <is>
          <t>Control</t>
        </is>
      </c>
      <c r="J3918" s="12" t="inlineStr">
        <is>
          <t>Control cable 600 V Type TC-ER, Cu #10 AWG (CT / VT circuits)</t>
        </is>
      </c>
      <c r="K3918" s="12" t="inlineStr">
        <is>
          <t>CTCT|4/C|10</t>
        </is>
      </c>
      <c r="L3918" s="12" t="inlineStr">
        <is>
          <t>4/C</t>
        </is>
      </c>
      <c r="M3918" s="12" t="inlineStr">
        <is>
          <t>10</t>
        </is>
      </c>
      <c r="N3918" s="12" t="n">
        <v>1</v>
      </c>
      <c r="O3918" s="12" t="n">
        <v>1</v>
      </c>
      <c r="P3918" s="12" t="n"/>
      <c r="Q3918" s="12" t="n"/>
      <c r="R3918" s="12" t="n"/>
      <c r="S3918" s="12" t="inlineStr">
        <is>
          <t>Duct bank</t>
        </is>
      </c>
      <c r="T3918" s="15" t="n">
        <v>280</v>
      </c>
      <c r="U3918" s="15" t="n">
        <v>87</v>
      </c>
      <c r="V3918" s="15">
        <f>ROUNDUP((T3918+U3918+2*'Read Me'!$B$13)*(1+'Read Me'!$B$12),-1)</f>
        <v/>
      </c>
      <c r="W3918" s="15">
        <f>V3918*N3918*O3918</f>
        <v/>
      </c>
      <c r="X3918" s="12">
        <f>IF(LEFT(I3918,2)="MV",2*N3918*IF(L3918="1/C",O3918,1),0)</f>
        <v/>
      </c>
      <c r="Y3918" s="12">
        <f>IF(OR(LEFT(K3918,4)="LVAX",LEFT(K3918,6)="MV15AX",LEFT(K3918,4)="CTAX",LEFT(K3918,2)="W|"),2*N3918*O3918,0)</f>
        <v/>
      </c>
      <c r="Z3918" s="12" t="inlineStr"/>
      <c r="AA3918" s="12">
        <f>N3918*O3918</f>
        <v/>
      </c>
    </row>
    <row r="3919">
      <c r="A3919" s="12" t="inlineStr">
        <is>
          <t>H-C-0081</t>
        </is>
      </c>
      <c r="B3919" s="12" t="inlineStr">
        <is>
          <t>H</t>
        </is>
      </c>
      <c r="C3919" s="12" t="inlineStr">
        <is>
          <t>BESS</t>
        </is>
      </c>
      <c r="D3919" s="12" t="inlineStr">
        <is>
          <t>CT / VT</t>
        </is>
      </c>
      <c r="E3919" s="12" t="inlineStr"/>
      <c r="F3919" s="12" t="inlineStr">
        <is>
          <t>BESS EMS / SCADA and revenue metering</t>
        </is>
      </c>
      <c r="G3919" s="12" t="inlineStr"/>
      <c r="H3919" s="12" t="inlineStr">
        <is>
          <t>CONDITIONAL: grounding transformer</t>
        </is>
      </c>
      <c r="I3919" s="12" t="inlineStr">
        <is>
          <t>Control</t>
        </is>
      </c>
      <c r="J3919" s="12" t="inlineStr">
        <is>
          <t>Control cable 600 V Type TC-ER, Cu #10 AWG (CT / VT circuits)</t>
        </is>
      </c>
      <c r="K3919" s="12" t="inlineStr">
        <is>
          <t>CTCT|4/C|10</t>
        </is>
      </c>
      <c r="L3919" s="12" t="inlineStr">
        <is>
          <t>4/C</t>
        </is>
      </c>
      <c r="M3919" s="12" t="inlineStr">
        <is>
          <t>10</t>
        </is>
      </c>
      <c r="N3919" s="12" t="n">
        <v>1</v>
      </c>
      <c r="O3919" s="12" t="n">
        <v>1</v>
      </c>
      <c r="P3919" s="12" t="n"/>
      <c r="Q3919" s="12" t="n"/>
      <c r="R3919" s="12" t="n"/>
      <c r="S3919" s="12" t="inlineStr">
        <is>
          <t>Duct bank</t>
        </is>
      </c>
      <c r="T3919" s="15" t="n">
        <v>280</v>
      </c>
      <c r="U3919" s="15" t="n">
        <v>87</v>
      </c>
      <c r="V3919" s="15">
        <f>ROUNDUP((T3919+U3919+2*'Read Me'!$B$13)*(1+'Read Me'!$B$12),-1)</f>
        <v/>
      </c>
      <c r="W3919" s="15">
        <f>V3919*N3919*O3919</f>
        <v/>
      </c>
      <c r="X3919" s="12">
        <f>IF(LEFT(I3919,2)="MV",2*N3919*IF(L3919="1/C",O3919,1),0)</f>
        <v/>
      </c>
      <c r="Y3919" s="12">
        <f>IF(OR(LEFT(K3919,4)="LVAX",LEFT(K3919,6)="MV15AX",LEFT(K3919,4)="CTAX",LEFT(K3919,2)="W|"),2*N3919*O3919,0)</f>
        <v/>
      </c>
      <c r="Z3919" s="12" t="inlineStr"/>
      <c r="AA3919" s="12">
        <f>N3919*O3919</f>
        <v/>
      </c>
    </row>
    <row r="3920">
      <c r="A3920" s="12" t="inlineStr">
        <is>
          <t>H-DC-0001</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150</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H-DC-0002</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5" t="n">
        <v>0</v>
      </c>
      <c r="U3921" s="15" t="n">
        <v>160</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H-DC-0003</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200</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H-DC-0004</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200</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H-DC-0005</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168</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H-DC-0006</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Duct bank</t>
        </is>
      </c>
      <c r="T3925" s="15" t="n">
        <v>10</v>
      </c>
      <c r="U3925" s="15" t="n">
        <v>158</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H-DC-0007</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10</v>
      </c>
      <c r="U3926" s="15" t="n">
        <v>266</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H-DC-0008</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276</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H-DC-0009</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316</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H-DC-0010</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316</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H-DC-0011</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284</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H-DC-0012</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Duct bank</t>
        </is>
      </c>
      <c r="T3931" s="15" t="n">
        <v>1485</v>
      </c>
      <c r="U3931" s="15" t="n">
        <v>257</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H-DC-0013</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290</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H-DC-0014</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290</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H-DC-0015</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290</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H-DC-0016</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290</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H-DC-0017</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290</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H-DC-0018</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276</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H-DC-0019</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H-DC-0020</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174</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H-DC-0021</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174</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H-DC-0022</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174</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H-DC-0023</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174</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H-DC-0024</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174</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H-DC-0025</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H-DC-0026</t>
        </is>
      </c>
      <c r="B3945" s="12" t="inlineStr">
        <is>
          <t>H</t>
        </is>
      </c>
      <c r="C3945" s="12" t="inlineStr">
        <is>
          <t>BESS</t>
        </is>
      </c>
      <c r="D3945" s="12" t="inlineStr">
        <is>
          <t>DC 1,500 V: container to PCS (2 x 1/C per pole pair)</t>
        </is>
      </c>
      <c r="E3945" s="12" t="inlineStr"/>
      <c r="F3945" s="12" t="inlineStr">
        <is>
          <t>BESS container (ISO 40 ft high cube)</t>
        </is>
      </c>
      <c r="G3945" s="12" t="inlineStr"/>
      <c r="H3945" s="12" t="inlineStr">
        <is>
          <t>BESS PCS / MV skid</t>
        </is>
      </c>
      <c r="I3945" s="12" t="inlineStr">
        <is>
          <t>DC 2 kV</t>
        </is>
      </c>
      <c r="J3945" s="12" t="inlineStr">
        <is>
          <t>PV / RHW-2 2 kV 1/C Cu, XLPE (DC)</t>
        </is>
      </c>
      <c r="K3945" s="12" t="inlineStr">
        <is>
          <t>PV|1/C|500</t>
        </is>
      </c>
      <c r="L3945" s="12" t="inlineStr">
        <is>
          <t>1/C</t>
        </is>
      </c>
      <c r="M3945" s="12" t="inlineStr">
        <is>
          <t>500 kcmil</t>
        </is>
      </c>
      <c r="N3945" s="12" t="n">
        <v>4</v>
      </c>
      <c r="O3945" s="12" t="n">
        <v>2</v>
      </c>
      <c r="P3945" s="12" t="n">
        <v>1500</v>
      </c>
      <c r="Q3945" s="12" t="n">
        <v>4000</v>
      </c>
      <c r="R3945" s="12" t="n"/>
      <c r="S3945" s="12" t="inlineStr">
        <is>
          <t>Tray</t>
        </is>
      </c>
      <c r="T3945" s="15" t="n">
        <v>0</v>
      </c>
      <c r="U3945" s="15" t="n">
        <v>62</v>
      </c>
      <c r="V3945" s="15">
        <f>ROUNDUP((T3945+U3945+2*'Read Me'!$B$13)*(1+'Read Me'!$B$12),-1)</f>
        <v/>
      </c>
      <c r="W3945" s="15">
        <f>V3945*N3945*O3945</f>
        <v/>
      </c>
      <c r="X3945" s="12">
        <f>IF(LEFT(I3945,2)="MV",2*N3945*IF(L3945="1/C",O3945,1),0)</f>
        <v/>
      </c>
      <c r="Y3945" s="12">
        <f>IF(OR(LEFT(K3945,4)="LVAX",LEFT(K3945,6)="MV15AX",LEFT(K3945,4)="CTAX",LEFT(K3945,2)="W|"),2*N3945*O3945,0)</f>
        <v/>
      </c>
      <c r="Z3945" s="12" t="inlineStr">
        <is>
          <t>4 sets of +/- per container (typ.)</t>
        </is>
      </c>
      <c r="AA3945" s="12">
        <f>N3945*O3945</f>
        <v/>
      </c>
    </row>
    <row r="3946">
      <c r="A3946" s="12" t="inlineStr">
        <is>
          <t>H-DC-0027</t>
        </is>
      </c>
      <c r="B3946" s="12" t="inlineStr">
        <is>
          <t>H</t>
        </is>
      </c>
      <c r="C3946" s="12" t="inlineStr">
        <is>
          <t>BESS</t>
        </is>
      </c>
      <c r="D3946" s="12" t="inlineStr">
        <is>
          <t>DC 1,500 V: container to PCS (2 x 1/C per pole pair)</t>
        </is>
      </c>
      <c r="E3946" s="12" t="inlineStr"/>
      <c r="F3946" s="12" t="inlineStr">
        <is>
          <t>BESS container (ISO 40 ft high cube)</t>
        </is>
      </c>
      <c r="G3946" s="12" t="inlineStr"/>
      <c r="H3946" s="12" t="inlineStr">
        <is>
          <t>BESS PCS / MV skid</t>
        </is>
      </c>
      <c r="I3946" s="12" t="inlineStr">
        <is>
          <t>DC 2 kV</t>
        </is>
      </c>
      <c r="J3946" s="12" t="inlineStr">
        <is>
          <t>PV / RHW-2 2 kV 1/C Cu, XLPE (DC)</t>
        </is>
      </c>
      <c r="K3946" s="12" t="inlineStr">
        <is>
          <t>PV|1/C|500</t>
        </is>
      </c>
      <c r="L3946" s="12" t="inlineStr">
        <is>
          <t>1/C</t>
        </is>
      </c>
      <c r="M3946" s="12" t="inlineStr">
        <is>
          <t>500 kcmil</t>
        </is>
      </c>
      <c r="N3946" s="12" t="n">
        <v>4</v>
      </c>
      <c r="O3946" s="12" t="n">
        <v>2</v>
      </c>
      <c r="P3946" s="12" t="n">
        <v>1500</v>
      </c>
      <c r="Q3946" s="12" t="n">
        <v>4000</v>
      </c>
      <c r="R3946" s="12" t="n"/>
      <c r="S3946" s="12" t="inlineStr">
        <is>
          <t>Tray</t>
        </is>
      </c>
      <c r="T3946" s="15" t="n">
        <v>0</v>
      </c>
      <c r="U3946" s="15" t="n">
        <v>62</v>
      </c>
      <c r="V3946" s="15">
        <f>ROUNDUP((T3946+U3946+2*'Read Me'!$B$13)*(1+'Read Me'!$B$12),-1)</f>
        <v/>
      </c>
      <c r="W3946" s="15">
        <f>V3946*N3946*O3946</f>
        <v/>
      </c>
      <c r="X3946" s="12">
        <f>IF(LEFT(I3946,2)="MV",2*N3946*IF(L3946="1/C",O3946,1),0)</f>
        <v/>
      </c>
      <c r="Y3946" s="12">
        <f>IF(OR(LEFT(K3946,4)="LVAX",LEFT(K3946,6)="MV15AX",LEFT(K3946,4)="CTAX",LEFT(K3946,2)="W|"),2*N3946*O3946,0)</f>
        <v/>
      </c>
      <c r="Z3946" s="12" t="inlineStr">
        <is>
          <t>4 sets of +/- per container (typ.)</t>
        </is>
      </c>
      <c r="AA3946" s="12">
        <f>N3946*O3946</f>
        <v/>
      </c>
    </row>
    <row r="3947">
      <c r="A3947" s="12" t="inlineStr">
        <is>
          <t>H-DC-0028</t>
        </is>
      </c>
      <c r="B3947" s="12" t="inlineStr">
        <is>
          <t>H</t>
        </is>
      </c>
      <c r="C3947" s="12" t="inlineStr">
        <is>
          <t>BESS</t>
        </is>
      </c>
      <c r="D3947" s="12" t="inlineStr">
        <is>
          <t>DC 1,500 V: container to PCS (2 x 1/C per pole pair)</t>
        </is>
      </c>
      <c r="E3947" s="12" t="inlineStr"/>
      <c r="F3947" s="12" t="inlineStr">
        <is>
          <t>BESS container (ISO 40 ft high cube)</t>
        </is>
      </c>
      <c r="G3947" s="12" t="inlineStr"/>
      <c r="H3947" s="12" t="inlineStr">
        <is>
          <t>BESS PCS / MV skid</t>
        </is>
      </c>
      <c r="I3947" s="12" t="inlineStr">
        <is>
          <t>DC 2 kV</t>
        </is>
      </c>
      <c r="J3947" s="12" t="inlineStr">
        <is>
          <t>PV / RHW-2 2 kV 1/C Cu, XLPE (DC)</t>
        </is>
      </c>
      <c r="K3947" s="12" t="inlineStr">
        <is>
          <t>PV|1/C|500</t>
        </is>
      </c>
      <c r="L3947" s="12" t="inlineStr">
        <is>
          <t>1/C</t>
        </is>
      </c>
      <c r="M3947" s="12" t="inlineStr">
        <is>
          <t>500 kcmil</t>
        </is>
      </c>
      <c r="N3947" s="12" t="n">
        <v>4</v>
      </c>
      <c r="O3947" s="12" t="n">
        <v>2</v>
      </c>
      <c r="P3947" s="12" t="n">
        <v>1500</v>
      </c>
      <c r="Q3947" s="12" t="n">
        <v>4000</v>
      </c>
      <c r="R3947" s="12" t="n"/>
      <c r="S3947" s="12" t="inlineStr">
        <is>
          <t>Tray</t>
        </is>
      </c>
      <c r="T3947" s="15" t="n">
        <v>0</v>
      </c>
      <c r="U3947" s="15" t="n">
        <v>62</v>
      </c>
      <c r="V3947" s="15">
        <f>ROUNDUP((T3947+U3947+2*'Read Me'!$B$13)*(1+'Read Me'!$B$12),-1)</f>
        <v/>
      </c>
      <c r="W3947" s="15">
        <f>V3947*N3947*O3947</f>
        <v/>
      </c>
      <c r="X3947" s="12">
        <f>IF(LEFT(I3947,2)="MV",2*N3947*IF(L3947="1/C",O3947,1),0)</f>
        <v/>
      </c>
      <c r="Y3947" s="12">
        <f>IF(OR(LEFT(K3947,4)="LVAX",LEFT(K3947,6)="MV15AX",LEFT(K3947,4)="CTAX",LEFT(K3947,2)="W|"),2*N3947*O3947,0)</f>
        <v/>
      </c>
      <c r="Z3947" s="12" t="inlineStr">
        <is>
          <t>4 sets of +/- per container (typ.)</t>
        </is>
      </c>
      <c r="AA3947" s="12">
        <f>N3947*O3947</f>
        <v/>
      </c>
    </row>
    <row r="3948">
      <c r="A3948" s="12" t="inlineStr">
        <is>
          <t>H-DC-0029</t>
        </is>
      </c>
      <c r="B3948" s="12" t="inlineStr">
        <is>
          <t>H</t>
        </is>
      </c>
      <c r="C3948" s="12" t="inlineStr">
        <is>
          <t>BESS</t>
        </is>
      </c>
      <c r="D3948" s="12" t="inlineStr">
        <is>
          <t>DC 1,500 V: container to PCS (2 x 1/C per pole pair)</t>
        </is>
      </c>
      <c r="E3948" s="12" t="inlineStr"/>
      <c r="F3948" s="12" t="inlineStr">
        <is>
          <t>BESS container (ISO 40 ft high cube)</t>
        </is>
      </c>
      <c r="G3948" s="12" t="inlineStr"/>
      <c r="H3948" s="12" t="inlineStr">
        <is>
          <t>BESS PCS / MV skid</t>
        </is>
      </c>
      <c r="I3948" s="12" t="inlineStr">
        <is>
          <t>DC 2 kV</t>
        </is>
      </c>
      <c r="J3948" s="12" t="inlineStr">
        <is>
          <t>PV / RHW-2 2 kV 1/C Cu, XLPE (DC)</t>
        </is>
      </c>
      <c r="K3948" s="12" t="inlineStr">
        <is>
          <t>PV|1/C|500</t>
        </is>
      </c>
      <c r="L3948" s="12" t="inlineStr">
        <is>
          <t>1/C</t>
        </is>
      </c>
      <c r="M3948" s="12" t="inlineStr">
        <is>
          <t>500 kcmil</t>
        </is>
      </c>
      <c r="N3948" s="12" t="n">
        <v>4</v>
      </c>
      <c r="O3948" s="12" t="n">
        <v>2</v>
      </c>
      <c r="P3948" s="12" t="n">
        <v>1500</v>
      </c>
      <c r="Q3948" s="12" t="n">
        <v>4000</v>
      </c>
      <c r="R3948" s="12" t="n"/>
      <c r="S3948" s="12" t="inlineStr">
        <is>
          <t>Tray</t>
        </is>
      </c>
      <c r="T3948" s="15" t="n">
        <v>0</v>
      </c>
      <c r="U3948" s="15" t="n">
        <v>62</v>
      </c>
      <c r="V3948" s="15">
        <f>ROUNDUP((T3948+U3948+2*'Read Me'!$B$13)*(1+'Read Me'!$B$12),-1)</f>
        <v/>
      </c>
      <c r="W3948" s="15">
        <f>V3948*N3948*O3948</f>
        <v/>
      </c>
      <c r="X3948" s="12">
        <f>IF(LEFT(I3948,2)="MV",2*N3948*IF(L3948="1/C",O3948,1),0)</f>
        <v/>
      </c>
      <c r="Y3948" s="12">
        <f>IF(OR(LEFT(K3948,4)="LVAX",LEFT(K3948,6)="MV15AX",LEFT(K3948,4)="CTAX",LEFT(K3948,2)="W|"),2*N3948*O3948,0)</f>
        <v/>
      </c>
      <c r="Z3948" s="12" t="inlineStr">
        <is>
          <t>4 sets of +/- per container (typ.)</t>
        </is>
      </c>
      <c r="AA3948" s="12">
        <f>N3948*O3948</f>
        <v/>
      </c>
    </row>
    <row r="3949">
      <c r="A3949" s="12" t="inlineStr">
        <is>
          <t>H-DC-0030</t>
        </is>
      </c>
      <c r="B3949" s="12" t="inlineStr">
        <is>
          <t>H</t>
        </is>
      </c>
      <c r="C3949" s="12" t="inlineStr">
        <is>
          <t>BESS</t>
        </is>
      </c>
      <c r="D3949" s="12" t="inlineStr">
        <is>
          <t>DC 1,500 V: container to PCS (2 x 1/C per pole pair)</t>
        </is>
      </c>
      <c r="E3949" s="12" t="inlineStr"/>
      <c r="F3949" s="12" t="inlineStr">
        <is>
          <t>BESS container (ISO 40 ft high cube)</t>
        </is>
      </c>
      <c r="G3949" s="12" t="inlineStr"/>
      <c r="H3949" s="12" t="inlineStr">
        <is>
          <t>BESS PCS / MV skid</t>
        </is>
      </c>
      <c r="I3949" s="12" t="inlineStr">
        <is>
          <t>DC 2 kV</t>
        </is>
      </c>
      <c r="J3949" s="12" t="inlineStr">
        <is>
          <t>PV / RHW-2 2 kV 1/C Cu, XLPE (DC)</t>
        </is>
      </c>
      <c r="K3949" s="12" t="inlineStr">
        <is>
          <t>PV|1/C|500</t>
        </is>
      </c>
      <c r="L3949" s="12" t="inlineStr">
        <is>
          <t>1/C</t>
        </is>
      </c>
      <c r="M3949" s="12" t="inlineStr">
        <is>
          <t>500 kcmil</t>
        </is>
      </c>
      <c r="N3949" s="12" t="n">
        <v>4</v>
      </c>
      <c r="O3949" s="12" t="n">
        <v>2</v>
      </c>
      <c r="P3949" s="12" t="n">
        <v>1500</v>
      </c>
      <c r="Q3949" s="12" t="n">
        <v>4000</v>
      </c>
      <c r="R3949" s="12" t="n"/>
      <c r="S3949" s="12" t="inlineStr">
        <is>
          <t>Tray</t>
        </is>
      </c>
      <c r="T3949" s="15" t="n">
        <v>0</v>
      </c>
      <c r="U3949" s="15" t="n">
        <v>62</v>
      </c>
      <c r="V3949" s="15">
        <f>ROUNDUP((T3949+U3949+2*'Read Me'!$B$13)*(1+'Read Me'!$B$12),-1)</f>
        <v/>
      </c>
      <c r="W3949" s="15">
        <f>V3949*N3949*O3949</f>
        <v/>
      </c>
      <c r="X3949" s="12">
        <f>IF(LEFT(I3949,2)="MV",2*N3949*IF(L3949="1/C",O3949,1),0)</f>
        <v/>
      </c>
      <c r="Y3949" s="12">
        <f>IF(OR(LEFT(K3949,4)="LVAX",LEFT(K3949,6)="MV15AX",LEFT(K3949,4)="CTAX",LEFT(K3949,2)="W|"),2*N3949*O3949,0)</f>
        <v/>
      </c>
      <c r="Z3949" s="12" t="inlineStr">
        <is>
          <t>4 sets of +/- per container (typ.)</t>
        </is>
      </c>
      <c r="AA3949" s="12">
        <f>N3949*O3949</f>
        <v/>
      </c>
    </row>
    <row r="3950">
      <c r="A3950" s="12" t="inlineStr">
        <is>
          <t>H-F-0001</t>
        </is>
      </c>
      <c r="B3950" s="12" t="inlineStr">
        <is>
          <t>H</t>
        </is>
      </c>
      <c r="C3950" s="12" t="inlineStr">
        <is>
          <t>BESS</t>
        </is>
      </c>
      <c r="D3950" s="12" t="inlineStr">
        <is>
          <t>Plant network / DCS fibre</t>
        </is>
      </c>
      <c r="E3950" s="12" t="inlineStr">
        <is>
          <t>CR</t>
        </is>
      </c>
      <c r="F3950" s="12" t="inlineStr">
        <is>
          <t>Control / admin building (main control room)</t>
        </is>
      </c>
      <c r="G3950" s="12" t="inlineStr"/>
      <c r="H3950" s="12" t="inlineStr">
        <is>
          <t>34.5 kV collector e-house (arc-resistant)</t>
        </is>
      </c>
      <c r="I3950" s="12" t="inlineStr">
        <is>
          <t>Fibre / data</t>
        </is>
      </c>
      <c r="J3950" s="12" t="inlineStr">
        <is>
          <t>Fibre optic, single-mode, 12-fibre, armored, orange jacket</t>
        </is>
      </c>
      <c r="K3950" s="12" t="inlineStr">
        <is>
          <t>FO|12 SM|-</t>
        </is>
      </c>
      <c r="L3950" s="12" t="inlineStr">
        <is>
          <t>12 SM</t>
        </is>
      </c>
      <c r="M3950" s="12" t="inlineStr">
        <is>
          <t>-</t>
        </is>
      </c>
      <c r="N3950" s="12" t="n">
        <v>1</v>
      </c>
      <c r="O3950" s="12" t="n">
        <v>1</v>
      </c>
      <c r="P3950" s="12" t="n"/>
      <c r="Q3950" s="12" t="n"/>
      <c r="R3950" s="12" t="n"/>
      <c r="S3950" s="12" t="inlineStr">
        <is>
          <t>Trench</t>
        </is>
      </c>
      <c r="T3950" s="15" t="n">
        <v>2496</v>
      </c>
      <c r="U3950" s="15" t="n">
        <v>36</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H-F-0002</t>
        </is>
      </c>
      <c r="B3951" s="12" t="inlineStr">
        <is>
          <t>H</t>
        </is>
      </c>
      <c r="C3951" s="12" t="inlineStr">
        <is>
          <t>BESS</t>
        </is>
      </c>
      <c r="D3951" s="12" t="inlineStr">
        <is>
          <t>Plant network / DCS fibre</t>
        </is>
      </c>
      <c r="E3951" s="12" t="inlineStr">
        <is>
          <t>CR</t>
        </is>
      </c>
      <c r="F3951" s="12" t="inlineStr">
        <is>
          <t>Control / admin building (main control room)</t>
        </is>
      </c>
      <c r="G3951" s="12" t="inlineStr"/>
      <c r="H3951" s="12" t="inlineStr">
        <is>
          <t>BESS EMS / SCADA and revenue metering</t>
        </is>
      </c>
      <c r="I3951" s="12" t="inlineStr">
        <is>
          <t>Fibre / data</t>
        </is>
      </c>
      <c r="J3951" s="12" t="inlineStr">
        <is>
          <t>Fibre optic, single-mode, 12-fibre, armored, orange jacket</t>
        </is>
      </c>
      <c r="K3951" s="12" t="inlineStr">
        <is>
          <t>FO|12 SM|-</t>
        </is>
      </c>
      <c r="L3951" s="12" t="inlineStr">
        <is>
          <t>12 SM</t>
        </is>
      </c>
      <c r="M3951" s="12" t="inlineStr">
        <is>
          <t>-</t>
        </is>
      </c>
      <c r="N3951" s="12" t="n">
        <v>1</v>
      </c>
      <c r="O3951" s="12" t="n">
        <v>1</v>
      </c>
      <c r="P3951" s="12" t="n"/>
      <c r="Q3951" s="12" t="n"/>
      <c r="R3951" s="12" t="n"/>
      <c r="S3951" s="12" t="inlineStr">
        <is>
          <t>Trench</t>
        </is>
      </c>
      <c r="T3951" s="15" t="n">
        <v>2583</v>
      </c>
      <c r="U3951" s="15" t="n">
        <v>76</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H-FA-0001</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34.5 kV collector e-house (arc-resistant)</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68</v>
      </c>
      <c r="U3952" s="15" t="n">
        <v>37</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H-FA-0002</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EMS / SCADA and revenue metering</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Tray</t>
        </is>
      </c>
      <c r="T3953" s="15" t="n">
        <v>0</v>
      </c>
      <c r="U3953" s="15" t="n">
        <v>32</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H-FA-0003</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is>
          <t>BESS</t>
        </is>
      </c>
      <c r="H3954" s="12" t="inlineStr">
        <is>
          <t>BESS blocks: 30 containers + 15 PCS / MV skids</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336</v>
      </c>
      <c r="U3954" s="15" t="n">
        <v>32</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H-FA-0004</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5" t="n">
        <v>300</v>
      </c>
      <c r="U3955" s="15" t="n">
        <v>89</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H-FA-0005</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160</v>
      </c>
      <c r="U3956" s="15" t="n">
        <v>169</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H-FA-0006</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109</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H-FA-0007</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70</v>
      </c>
      <c r="U3958" s="15" t="n">
        <v>139</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H-FA-0008</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93</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H-FA-0009</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Tray</t>
        </is>
      </c>
      <c r="T3960" s="15" t="n">
        <v>0</v>
      </c>
      <c r="U3960" s="15" t="n">
        <v>83</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H-FA-0010</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300</v>
      </c>
      <c r="U3961" s="15" t="n">
        <v>147</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H-FA-0011</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160</v>
      </c>
      <c r="U3962" s="15" t="n">
        <v>227</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H-FA-0012</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160</v>
      </c>
      <c r="U3963" s="15" t="n">
        <v>167</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H-FA-0013</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30</v>
      </c>
      <c r="U3964" s="15" t="n">
        <v>211</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H-FA-0014</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30</v>
      </c>
      <c r="U3965" s="15" t="n">
        <v>151</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H-FA-0015</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1555</v>
      </c>
      <c r="U3966" s="15" t="n">
        <v>108</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H-FA-0016</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300</v>
      </c>
      <c r="U3967" s="15" t="n">
        <v>205</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H-FA-0017</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300</v>
      </c>
      <c r="U3968" s="15" t="n">
        <v>205</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H-FA-0018</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160</v>
      </c>
      <c r="U3969" s="15" t="n">
        <v>225</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H-FA-0019</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225</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H-FA-0020</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173</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H-FA-0021</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1559</v>
      </c>
      <c r="U3972" s="15" t="n">
        <v>132</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H-FA-0022</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340</v>
      </c>
      <c r="U3973" s="15" t="n">
        <v>253</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H-FA-0023</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300</v>
      </c>
      <c r="U3974" s="15" t="n">
        <v>263</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H-FA-0024</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160</v>
      </c>
      <c r="U3975" s="15" t="n">
        <v>283</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H-FA-0025</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175</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H-FA-0026</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115</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H-FA-0027</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115</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H-FA-0028</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602</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H-FA-0029</t>
        </is>
      </c>
      <c r="B3980" s="12" t="inlineStr">
        <is>
          <t>H</t>
        </is>
      </c>
      <c r="C3980" s="12" t="inlineStr">
        <is>
          <t>BESS</t>
        </is>
      </c>
      <c r="D3980" s="12" t="inlineStr">
        <is>
          <t>Fire alarm / F&amp;G loop (to the local FACP / F&amp;G node)</t>
        </is>
      </c>
      <c r="E3980" s="12" t="inlineStr"/>
      <c r="F3980" s="12" t="inlineStr">
        <is>
          <t>BESS EMS / SCADA and revenue metering</t>
        </is>
      </c>
      <c r="G3980" s="12" t="inlineStr"/>
      <c r="H3980" s="12" t="inlineStr">
        <is>
          <t>BESS container (ISO 40 ft high cube)</t>
        </is>
      </c>
      <c r="I3980" s="12" t="inlineStr">
        <is>
          <t>Fire alarm</t>
        </is>
      </c>
      <c r="J3980" s="12" t="inlineStr">
        <is>
          <t>Fire alarm FPLR 2/C #14 shielded, red jacket (NEC 760)</t>
        </is>
      </c>
      <c r="K3980" s="12" t="inlineStr">
        <is>
          <t>FA|2/C|14</t>
        </is>
      </c>
      <c r="L3980" s="12" t="inlineStr">
        <is>
          <t>2/C</t>
        </is>
      </c>
      <c r="M3980" s="12" t="inlineStr">
        <is>
          <t>14</t>
        </is>
      </c>
      <c r="N3980" s="12" t="n">
        <v>1</v>
      </c>
      <c r="O3980" s="12" t="n">
        <v>1</v>
      </c>
      <c r="P3980" s="12" t="n"/>
      <c r="Q3980" s="12" t="n"/>
      <c r="R3980" s="12" t="n"/>
      <c r="S3980" s="12" t="inlineStr">
        <is>
          <t>Duct bank</t>
        </is>
      </c>
      <c r="T3980" s="15" t="n">
        <v>482</v>
      </c>
      <c r="U3980" s="15" t="n">
        <v>117</v>
      </c>
      <c r="V3980" s="15">
        <f>ROUNDUP((T3980+U3980+2*'Read Me'!$B$13)*(1+'Read Me'!$B$12),-1)</f>
        <v/>
      </c>
      <c r="W3980" s="15">
        <f>V3980*N3980*O3980</f>
        <v/>
      </c>
      <c r="X3980" s="12">
        <f>IF(LEFT(I3980,2)="MV",2*N3980*IF(L3980="1/C",O3980,1),0)</f>
        <v/>
      </c>
      <c r="Y3980" s="12">
        <f>IF(OR(LEFT(K3980,4)="LVAX",LEFT(K3980,6)="MV15AX",LEFT(K3980,4)="CTAX",LEFT(K3980,2)="W|"),2*N3980*O3980,0)</f>
        <v/>
      </c>
      <c r="Z3980" s="12" t="inlineStr"/>
      <c r="AA3980" s="12">
        <f>N3980*O3980</f>
        <v/>
      </c>
    </row>
    <row r="3981">
      <c r="A3981" s="12" t="inlineStr">
        <is>
          <t>H-FA-0030</t>
        </is>
      </c>
      <c r="B3981" s="12" t="inlineStr">
        <is>
          <t>H</t>
        </is>
      </c>
      <c r="C3981" s="12" t="inlineStr">
        <is>
          <t>BESS</t>
        </is>
      </c>
      <c r="D3981" s="12" t="inlineStr">
        <is>
          <t>Fire alarm / F&amp;G loop (to the local FACP / F&amp;G node)</t>
        </is>
      </c>
      <c r="E3981" s="12" t="inlineStr"/>
      <c r="F3981" s="12" t="inlineStr">
        <is>
          <t>BESS EMS / SCADA and revenue metering</t>
        </is>
      </c>
      <c r="G3981" s="12" t="inlineStr"/>
      <c r="H3981" s="12" t="inlineStr">
        <is>
          <t>BESS container (ISO 40 ft high cube)</t>
        </is>
      </c>
      <c r="I3981" s="12" t="inlineStr">
        <is>
          <t>Fire alarm</t>
        </is>
      </c>
      <c r="J3981" s="12" t="inlineStr">
        <is>
          <t>Fire alarm FPLR 2/C #14 shielded, red jacket (NEC 760)</t>
        </is>
      </c>
      <c r="K3981" s="12" t="inlineStr">
        <is>
          <t>FA|2/C|14</t>
        </is>
      </c>
      <c r="L3981" s="12" t="inlineStr">
        <is>
          <t>2/C</t>
        </is>
      </c>
      <c r="M3981" s="12" t="inlineStr">
        <is>
          <t>14</t>
        </is>
      </c>
      <c r="N3981" s="12" t="n">
        <v>1</v>
      </c>
      <c r="O3981" s="12" t="n">
        <v>1</v>
      </c>
      <c r="P3981" s="12" t="n"/>
      <c r="Q3981" s="12" t="n"/>
      <c r="R3981" s="12" t="n"/>
      <c r="S3981" s="12" t="inlineStr">
        <is>
          <t>Duct bank</t>
        </is>
      </c>
      <c r="T3981" s="15" t="n">
        <v>336</v>
      </c>
      <c r="U3981" s="15" t="n">
        <v>177</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H-FA-0031</t>
        </is>
      </c>
      <c r="B3982" s="12" t="inlineStr">
        <is>
          <t>H</t>
        </is>
      </c>
      <c r="C3982" s="12" t="inlineStr">
        <is>
          <t>BESS</t>
        </is>
      </c>
      <c r="D3982" s="12" t="inlineStr">
        <is>
          <t>Fire alarm / F&amp;G loop (to the local FACP / F&amp;G node)</t>
        </is>
      </c>
      <c r="E3982" s="12" t="inlineStr"/>
      <c r="F3982" s="12" t="inlineStr">
        <is>
          <t>BESS EMS / SCADA and revenue metering</t>
        </is>
      </c>
      <c r="G3982" s="12" t="inlineStr"/>
      <c r="H3982" s="12" t="inlineStr">
        <is>
          <t>BESS container (ISO 40 ft high cube)</t>
        </is>
      </c>
      <c r="I3982" s="12" t="inlineStr">
        <is>
          <t>Fire alarm</t>
        </is>
      </c>
      <c r="J3982" s="12" t="inlineStr">
        <is>
          <t>Fire alarm FPLR 2/C #14 shielded, red jacket (NEC 760)</t>
        </is>
      </c>
      <c r="K3982" s="12" t="inlineStr">
        <is>
          <t>FA|2/C|14</t>
        </is>
      </c>
      <c r="L3982" s="12" t="inlineStr">
        <is>
          <t>2/C</t>
        </is>
      </c>
      <c r="M3982" s="12" t="inlineStr">
        <is>
          <t>14</t>
        </is>
      </c>
      <c r="N3982" s="12" t="n">
        <v>1</v>
      </c>
      <c r="O3982" s="12" t="n">
        <v>1</v>
      </c>
      <c r="P3982" s="12" t="n"/>
      <c r="Q3982" s="12" t="n"/>
      <c r="R3982" s="12" t="n"/>
      <c r="S3982" s="12" t="inlineStr">
        <is>
          <t>Duct bank</t>
        </is>
      </c>
      <c r="T3982" s="15" t="n">
        <v>336</v>
      </c>
      <c r="U3982" s="15" t="n">
        <v>117</v>
      </c>
      <c r="V3982" s="15">
        <f>ROUNDUP((T3982+U3982+2*'Read Me'!$B$13)*(1+'Read Me'!$B$12),-1)</f>
        <v/>
      </c>
      <c r="W3982" s="15">
        <f>V3982*N3982*O3982</f>
        <v/>
      </c>
      <c r="X3982" s="12">
        <f>IF(LEFT(I3982,2)="MV",2*N3982*IF(L3982="1/C",O3982,1),0)</f>
        <v/>
      </c>
      <c r="Y3982" s="12">
        <f>IF(OR(LEFT(K3982,4)="LVAX",LEFT(K3982,6)="MV15AX",LEFT(K3982,4)="CTAX",LEFT(K3982,2)="W|"),2*N3982*O3982,0)</f>
        <v/>
      </c>
      <c r="Z3982" s="12" t="inlineStr"/>
      <c r="AA3982" s="12">
        <f>N3982*O3982</f>
        <v/>
      </c>
    </row>
    <row r="3983">
      <c r="A3983" s="12" t="inlineStr">
        <is>
          <t>H-FA-0032</t>
        </is>
      </c>
      <c r="B3983" s="12" t="inlineStr">
        <is>
          <t>H</t>
        </is>
      </c>
      <c r="C3983" s="12" t="inlineStr">
        <is>
          <t>BESS</t>
        </is>
      </c>
      <c r="D3983" s="12" t="inlineStr">
        <is>
          <t>Fire alarm / F&amp;G loop (to the local FACP / F&amp;G node)</t>
        </is>
      </c>
      <c r="E3983" s="12" t="inlineStr"/>
      <c r="F3983" s="12" t="inlineStr">
        <is>
          <t>BESS EMS / SCADA and revenue metering</t>
        </is>
      </c>
      <c r="G3983" s="12" t="inlineStr"/>
      <c r="H3983" s="12" t="inlineStr">
        <is>
          <t>BESS container (ISO 40 ft high cube)</t>
        </is>
      </c>
      <c r="I3983" s="12" t="inlineStr">
        <is>
          <t>Fire alarm</t>
        </is>
      </c>
      <c r="J3983" s="12" t="inlineStr">
        <is>
          <t>Fire alarm FPLR 2/C #14 shielded, red jacket (NEC 760)</t>
        </is>
      </c>
      <c r="K3983" s="12" t="inlineStr">
        <is>
          <t>FA|2/C|14</t>
        </is>
      </c>
      <c r="L3983" s="12" t="inlineStr">
        <is>
          <t>2/C</t>
        </is>
      </c>
      <c r="M3983" s="12" t="inlineStr">
        <is>
          <t>14</t>
        </is>
      </c>
      <c r="N3983" s="12" t="n">
        <v>1</v>
      </c>
      <c r="O3983" s="12" t="n">
        <v>1</v>
      </c>
      <c r="P3983" s="12" t="n"/>
      <c r="Q3983" s="12" t="n"/>
      <c r="R3983" s="12" t="n"/>
      <c r="S3983" s="12" t="inlineStr">
        <is>
          <t>Duct bank</t>
        </is>
      </c>
      <c r="T3983" s="15" t="n">
        <v>336</v>
      </c>
      <c r="U3983" s="15" t="n">
        <v>57</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H-FA-0033</t>
        </is>
      </c>
      <c r="B3984" s="12" t="inlineStr">
        <is>
          <t>H</t>
        </is>
      </c>
      <c r="C3984" s="12" t="inlineStr">
        <is>
          <t>BESS</t>
        </is>
      </c>
      <c r="D3984" s="12" t="inlineStr">
        <is>
          <t>Fire alarm / F&amp;G loop (to the local FACP / F&amp;G node)</t>
        </is>
      </c>
      <c r="E3984" s="12" t="inlineStr"/>
      <c r="F3984" s="12" t="inlineStr">
        <is>
          <t>BESS EMS / SCADA and revenue metering</t>
        </is>
      </c>
      <c r="G3984" s="12" t="inlineStr"/>
      <c r="H3984" s="12" t="inlineStr">
        <is>
          <t>BESS container (ISO 40 ft high cube)</t>
        </is>
      </c>
      <c r="I3984" s="12" t="inlineStr">
        <is>
          <t>Fire alarm</t>
        </is>
      </c>
      <c r="J3984" s="12" t="inlineStr">
        <is>
          <t>Fire alarm FPLR 2/C #14 shielded, red jacket (NEC 760)</t>
        </is>
      </c>
      <c r="K3984" s="12" t="inlineStr">
        <is>
          <t>FA|2/C|14</t>
        </is>
      </c>
      <c r="L3984" s="12" t="inlineStr">
        <is>
          <t>2/C</t>
        </is>
      </c>
      <c r="M3984" s="12" t="inlineStr">
        <is>
          <t>14</t>
        </is>
      </c>
      <c r="N3984" s="12" t="n">
        <v>1</v>
      </c>
      <c r="O3984" s="12" t="n">
        <v>1</v>
      </c>
      <c r="P3984" s="12" t="n"/>
      <c r="Q3984" s="12" t="n"/>
      <c r="R3984" s="12" t="n"/>
      <c r="S3984" s="12" t="inlineStr">
        <is>
          <t>Duct bank</t>
        </is>
      </c>
      <c r="T3984" s="15" t="n">
        <v>336</v>
      </c>
      <c r="U3984" s="15" t="n">
        <v>57</v>
      </c>
      <c r="V3984" s="15">
        <f>ROUNDUP((T3984+U3984+2*'Read Me'!$B$13)*(1+'Read Me'!$B$12),-1)</f>
        <v/>
      </c>
      <c r="W3984" s="15">
        <f>V3984*N3984*O3984</f>
        <v/>
      </c>
      <c r="X3984" s="12">
        <f>IF(LEFT(I3984,2)="MV",2*N3984*IF(L3984="1/C",O3984,1),0)</f>
        <v/>
      </c>
      <c r="Y3984" s="12">
        <f>IF(OR(LEFT(K3984,4)="LVAX",LEFT(K3984,6)="MV15AX",LEFT(K3984,4)="CTAX",LEFT(K3984,2)="W|"),2*N3984*O3984,0)</f>
        <v/>
      </c>
      <c r="Z3984" s="12" t="inlineStr"/>
      <c r="AA3984" s="12">
        <f>N3984*O3984</f>
        <v/>
      </c>
    </row>
    <row r="3985">
      <c r="A3985" s="12" t="inlineStr">
        <is>
          <t>H-I-0001</t>
        </is>
      </c>
      <c r="B3985" s="12" t="inlineStr">
        <is>
          <t>H</t>
        </is>
      </c>
      <c r="C3985" s="12" t="inlineStr">
        <is>
          <t>BESS</t>
        </is>
      </c>
      <c r="D3985" s="12" t="inlineStr">
        <is>
          <t>Analog instrument to JB JB-BESS PCS / MV skid-AI01: 6 x 1 pr (field cables)</t>
        </is>
      </c>
      <c r="E3985" s="12" t="inlineStr"/>
      <c r="F3985" s="12" t="inlineStr">
        <is>
          <t>BESS PCS / MV skid</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6</v>
      </c>
      <c r="O3985" s="12" t="n">
        <v>1</v>
      </c>
      <c r="P3985" s="12" t="n"/>
      <c r="Q3985" s="12" t="n"/>
      <c r="R3985" s="12" t="n"/>
      <c r="S3985" s="12" t="inlineStr">
        <is>
          <t>Tray / conduit</t>
        </is>
      </c>
      <c r="T3985" s="15" t="n">
        <v>43</v>
      </c>
      <c r="U3985" s="15" t="n">
        <v>10</v>
      </c>
      <c r="V3985" s="15">
        <f>ROUNDUP((T3985+U3985+2*'Read Me'!$B$13)*(1+'Read Me'!$B$12),-1)</f>
        <v/>
      </c>
      <c r="W3985" s="15">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H-I-0002</t>
        </is>
      </c>
      <c r="B3986" s="12" t="inlineStr">
        <is>
          <t>H</t>
        </is>
      </c>
      <c r="C3986" s="12" t="inlineStr">
        <is>
          <t>BESS</t>
        </is>
      </c>
      <c r="D3986" s="12" t="inlineStr">
        <is>
          <t>Home run JB-BESS PCS / MV skid-AI01 to the control / marshalling room</t>
        </is>
      </c>
      <c r="E3986" s="12" t="inlineStr"/>
      <c r="F3986" s="12" t="inlineStr">
        <is>
          <t>BESS EMS / SCADA and revenue metering</t>
        </is>
      </c>
      <c r="G3986" s="12" t="inlineStr">
        <is>
          <t>JB-BESS PCS / MV skid-AI01</t>
        </is>
      </c>
      <c r="H3986" s="12" t="inlineStr">
        <is>
          <t>BESS PCS / MV skid</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5" t="n">
        <v>300</v>
      </c>
      <c r="U3986" s="15" t="n">
        <v>103</v>
      </c>
      <c r="V3986" s="15">
        <f>ROUNDUP((T3986+U3986+2*'Read Me'!$B$13)*(1+'Read Me'!$B$12),-1)</f>
        <v/>
      </c>
      <c r="W3986" s="15">
        <f>V3986*N3986*O3986</f>
        <v/>
      </c>
      <c r="X3986" s="12">
        <f>IF(LEFT(I3986,2)="MV",2*N3986*IF(L3986="1/C",O3986,1),0)</f>
        <v/>
      </c>
      <c r="Y3986" s="12">
        <f>IF(OR(LEFT(K3986,4)="LVAX",LEFT(K3986,6)="MV15AX",LEFT(K3986,4)="CTAX",LEFT(K3986,2)="W|"),2*N3986*O3986,0)</f>
        <v/>
      </c>
      <c r="Z3986" s="12" t="inlineStr"/>
      <c r="AA3986" s="12">
        <f>N3986*O3986</f>
        <v/>
      </c>
    </row>
    <row r="3987">
      <c r="A3987" s="12" t="inlineStr">
        <is>
          <t>H-I-0003</t>
        </is>
      </c>
      <c r="B3987" s="12" t="inlineStr">
        <is>
          <t>H</t>
        </is>
      </c>
      <c r="C3987" s="12" t="inlineStr">
        <is>
          <t>BESS</t>
        </is>
      </c>
      <c r="D3987" s="12" t="inlineStr">
        <is>
          <t>Discrete device to JB JB-BESS PCS / MV skid-DI01: 10 x 1 pr (field cables)</t>
        </is>
      </c>
      <c r="E3987" s="12" t="inlineStr"/>
      <c r="F3987" s="12" t="inlineStr">
        <is>
          <t>BESS PCS / MV skid</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10</v>
      </c>
      <c r="O3987" s="12" t="n">
        <v>1</v>
      </c>
      <c r="P3987" s="12" t="n"/>
      <c r="Q3987" s="12" t="n"/>
      <c r="R3987" s="12" t="n"/>
      <c r="S3987" s="12" t="inlineStr">
        <is>
          <t>Tray / conduit</t>
        </is>
      </c>
      <c r="T3987" s="15" t="n">
        <v>43</v>
      </c>
      <c r="U3987" s="15" t="n">
        <v>10</v>
      </c>
      <c r="V3987" s="15">
        <f>ROUNDUP((T3987+U3987+2*'Read Me'!$B$13)*(1+'Read Me'!$B$12),-1)</f>
        <v/>
      </c>
      <c r="W3987" s="15">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H-I-0004</t>
        </is>
      </c>
      <c r="B3988" s="12" t="inlineStr">
        <is>
          <t>H</t>
        </is>
      </c>
      <c r="C3988" s="12" t="inlineStr">
        <is>
          <t>BESS</t>
        </is>
      </c>
      <c r="D3988" s="12" t="inlineStr">
        <is>
          <t>Home run JB-BESS PCS / MV skid-DI01 to the control / marshalling room</t>
        </is>
      </c>
      <c r="E3988" s="12" t="inlineStr"/>
      <c r="F3988" s="12" t="inlineStr">
        <is>
          <t>BESS EMS / SCADA and revenue metering</t>
        </is>
      </c>
      <c r="G3988" s="12" t="inlineStr">
        <is>
          <t>JB-BESS PCS / MV skid-DI01</t>
        </is>
      </c>
      <c r="H3988" s="12" t="inlineStr">
        <is>
          <t>BESS PCS / MV skid</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5" t="n">
        <v>300</v>
      </c>
      <c r="U3988" s="15" t="n">
        <v>103</v>
      </c>
      <c r="V3988" s="15">
        <f>ROUNDUP((T3988+U3988+2*'Read Me'!$B$13)*(1+'Read Me'!$B$12),-1)</f>
        <v/>
      </c>
      <c r="W3988" s="15">
        <f>V3988*N3988*O3988</f>
        <v/>
      </c>
      <c r="X3988" s="12">
        <f>IF(LEFT(I3988,2)="MV",2*N3988*IF(L3988="1/C",O3988,1),0)</f>
        <v/>
      </c>
      <c r="Y3988" s="12">
        <f>IF(OR(LEFT(K3988,4)="LVAX",LEFT(K3988,6)="MV15AX",LEFT(K3988,4)="CTAX",LEFT(K3988,2)="W|"),2*N3988*O3988,0)</f>
        <v/>
      </c>
      <c r="Z3988" s="12" t="inlineStr"/>
      <c r="AA3988" s="12">
        <f>N3988*O3988</f>
        <v/>
      </c>
    </row>
    <row r="3989">
      <c r="A3989" s="12" t="inlineStr">
        <is>
          <t>H-I-0005</t>
        </is>
      </c>
      <c r="B3989" s="12" t="inlineStr">
        <is>
          <t>H</t>
        </is>
      </c>
      <c r="C3989" s="12" t="inlineStr">
        <is>
          <t>BESS</t>
        </is>
      </c>
      <c r="D3989" s="12" t="inlineStr">
        <is>
          <t>Analog instrument to JB JB-BESS PCS / MV skid-AI01: 6 x 1 pr (field cables)</t>
        </is>
      </c>
      <c r="E3989" s="12" t="inlineStr"/>
      <c r="F3989" s="12" t="inlineStr">
        <is>
          <t>BESS PCS / MV skid</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6</v>
      </c>
      <c r="O3989" s="12" t="n">
        <v>1</v>
      </c>
      <c r="P3989" s="12" t="n"/>
      <c r="Q3989" s="12" t="n"/>
      <c r="R3989" s="12" t="n"/>
      <c r="S3989" s="12" t="inlineStr">
        <is>
          <t>Tray / conduit</t>
        </is>
      </c>
      <c r="T3989" s="15" t="n">
        <v>43</v>
      </c>
      <c r="U3989" s="15" t="n">
        <v>10</v>
      </c>
      <c r="V3989" s="15">
        <f>ROUNDUP((T3989+U3989+2*'Read Me'!$B$13)*(1+'Read Me'!$B$12),-1)</f>
        <v/>
      </c>
      <c r="W3989" s="15">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H-I-0006</t>
        </is>
      </c>
      <c r="B3990" s="12" t="inlineStr">
        <is>
          <t>H</t>
        </is>
      </c>
      <c r="C3990" s="12" t="inlineStr">
        <is>
          <t>BESS</t>
        </is>
      </c>
      <c r="D3990" s="12" t="inlineStr">
        <is>
          <t>Home run JB-BESS PCS / MV skid-AI01 to the control / marshalling room</t>
        </is>
      </c>
      <c r="E3990" s="12" t="inlineStr"/>
      <c r="F3990" s="12" t="inlineStr">
        <is>
          <t>BESS EMS / SCADA and revenue metering</t>
        </is>
      </c>
      <c r="G3990" s="12" t="inlineStr">
        <is>
          <t>JB-BESS PCS / MV skid-AI01</t>
        </is>
      </c>
      <c r="H3990" s="12" t="inlineStr">
        <is>
          <t>BESS PCS / MV skid</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5" t="n">
        <v>160</v>
      </c>
      <c r="U3990" s="15" t="n">
        <v>123</v>
      </c>
      <c r="V3990" s="15">
        <f>ROUNDUP((T3990+U3990+2*'Read Me'!$B$13)*(1+'Read Me'!$B$12),-1)</f>
        <v/>
      </c>
      <c r="W3990" s="15">
        <f>V3990*N3990*O3990</f>
        <v/>
      </c>
      <c r="X3990" s="12">
        <f>IF(LEFT(I3990,2)="MV",2*N3990*IF(L3990="1/C",O3990,1),0)</f>
        <v/>
      </c>
      <c r="Y3990" s="12">
        <f>IF(OR(LEFT(K3990,4)="LVAX",LEFT(K3990,6)="MV15AX",LEFT(K3990,4)="CTAX",LEFT(K3990,2)="W|"),2*N3990*O3990,0)</f>
        <v/>
      </c>
      <c r="Z3990" s="12" t="inlineStr"/>
      <c r="AA3990" s="12">
        <f>N3990*O3990</f>
        <v/>
      </c>
    </row>
    <row r="3991">
      <c r="A3991" s="12" t="inlineStr">
        <is>
          <t>H-I-0007</t>
        </is>
      </c>
      <c r="B3991" s="12" t="inlineStr">
        <is>
          <t>H</t>
        </is>
      </c>
      <c r="C3991" s="12" t="inlineStr">
        <is>
          <t>BESS</t>
        </is>
      </c>
      <c r="D3991" s="12" t="inlineStr">
        <is>
          <t>Discrete device to JB JB-BESS PCS / MV skid-DI01: 10 x 1 pr (field cables)</t>
        </is>
      </c>
      <c r="E3991" s="12" t="inlineStr"/>
      <c r="F3991" s="12" t="inlineStr">
        <is>
          <t>BESS PCS / MV skid</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10</v>
      </c>
      <c r="O3991" s="12" t="n">
        <v>1</v>
      </c>
      <c r="P3991" s="12" t="n"/>
      <c r="Q3991" s="12" t="n"/>
      <c r="R3991" s="12" t="n"/>
      <c r="S3991" s="12" t="inlineStr">
        <is>
          <t>Tray / conduit</t>
        </is>
      </c>
      <c r="T3991" s="15" t="n">
        <v>43</v>
      </c>
      <c r="U3991" s="15" t="n">
        <v>10</v>
      </c>
      <c r="V3991" s="15">
        <f>ROUNDUP((T3991+U3991+2*'Read Me'!$B$13)*(1+'Read Me'!$B$12),-1)</f>
        <v/>
      </c>
      <c r="W3991" s="15">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H-I-0008</t>
        </is>
      </c>
      <c r="B3992" s="12" t="inlineStr">
        <is>
          <t>H</t>
        </is>
      </c>
      <c r="C3992" s="12" t="inlineStr">
        <is>
          <t>BESS</t>
        </is>
      </c>
      <c r="D3992" s="12" t="inlineStr">
        <is>
          <t>Home run JB-BESS PCS / MV skid-DI01 to the control / marshalling room</t>
        </is>
      </c>
      <c r="E3992" s="12" t="inlineStr"/>
      <c r="F3992" s="12" t="inlineStr">
        <is>
          <t>BESS EMS / SCADA and revenue metering</t>
        </is>
      </c>
      <c r="G3992" s="12" t="inlineStr">
        <is>
          <t>JB-BESS PCS / MV skid-DI01</t>
        </is>
      </c>
      <c r="H3992" s="12" t="inlineStr">
        <is>
          <t>BESS PCS / MV skid</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5" t="n">
        <v>160</v>
      </c>
      <c r="U3992" s="15" t="n">
        <v>123</v>
      </c>
      <c r="V3992" s="15">
        <f>ROUNDUP((T3992+U3992+2*'Read Me'!$B$13)*(1+'Read Me'!$B$12),-1)</f>
        <v/>
      </c>
      <c r="W3992" s="15">
        <f>V3992*N3992*O3992</f>
        <v/>
      </c>
      <c r="X3992" s="12">
        <f>IF(LEFT(I3992,2)="MV",2*N3992*IF(L3992="1/C",O3992,1),0)</f>
        <v/>
      </c>
      <c r="Y3992" s="12">
        <f>IF(OR(LEFT(K3992,4)="LVAX",LEFT(K3992,6)="MV15AX",LEFT(K3992,4)="CTAX",LEFT(K3992,2)="W|"),2*N3992*O3992,0)</f>
        <v/>
      </c>
      <c r="Z3992" s="12" t="inlineStr"/>
      <c r="AA3992" s="12">
        <f>N3992*O3992</f>
        <v/>
      </c>
    </row>
    <row r="3993">
      <c r="A3993" s="12" t="inlineStr">
        <is>
          <t>H-I-0009</t>
        </is>
      </c>
      <c r="B3993" s="12" t="inlineStr">
        <is>
          <t>H</t>
        </is>
      </c>
      <c r="C3993" s="12" t="inlineStr">
        <is>
          <t>BESS</t>
        </is>
      </c>
      <c r="D3993" s="12" t="inlineStr">
        <is>
          <t>Analog instrument to JB JB-BESS PCS / MV skid-AI01: 6 x 1 pr (field cables)</t>
        </is>
      </c>
      <c r="E3993" s="12" t="inlineStr"/>
      <c r="F3993" s="12" t="inlineStr">
        <is>
          <t>BESS PCS / MV skid</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6</v>
      </c>
      <c r="O3993" s="12" t="n">
        <v>1</v>
      </c>
      <c r="P3993" s="12" t="n"/>
      <c r="Q3993" s="12" t="n"/>
      <c r="R3993" s="12" t="n"/>
      <c r="S3993" s="12" t="inlineStr">
        <is>
          <t>Tray / conduit</t>
        </is>
      </c>
      <c r="T3993" s="15" t="n">
        <v>43</v>
      </c>
      <c r="U3993" s="15" t="n">
        <v>10</v>
      </c>
      <c r="V3993" s="15">
        <f>ROUNDUP((T3993+U3993+2*'Read Me'!$B$13)*(1+'Read Me'!$B$12),-1)</f>
        <v/>
      </c>
      <c r="W3993" s="15">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H-I-0010</t>
        </is>
      </c>
      <c r="B3994" s="12" t="inlineStr">
        <is>
          <t>H</t>
        </is>
      </c>
      <c r="C3994" s="12" t="inlineStr">
        <is>
          <t>BESS</t>
        </is>
      </c>
      <c r="D3994" s="12" t="inlineStr">
        <is>
          <t>Home run JB-BESS PCS / MV skid-AI01 to the control / marshalling room</t>
        </is>
      </c>
      <c r="E3994" s="12" t="inlineStr"/>
      <c r="F3994" s="12" t="inlineStr">
        <is>
          <t>BESS EMS / SCADA and revenue metering</t>
        </is>
      </c>
      <c r="G3994" s="12" t="inlineStr">
        <is>
          <t>JB-BESS PCS / MV skid-AI01</t>
        </is>
      </c>
      <c r="H3994" s="12" t="inlineStr">
        <is>
          <t>BESS PCS / MV skid</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5" t="n">
        <v>30</v>
      </c>
      <c r="U3994" s="15" t="n">
        <v>107</v>
      </c>
      <c r="V3994" s="15">
        <f>ROUNDUP((T3994+U3994+2*'Read Me'!$B$13)*(1+'Read Me'!$B$12),-1)</f>
        <v/>
      </c>
      <c r="W3994" s="15">
        <f>V3994*N3994*O3994</f>
        <v/>
      </c>
      <c r="X3994" s="12">
        <f>IF(LEFT(I3994,2)="MV",2*N3994*IF(L3994="1/C",O3994,1),0)</f>
        <v/>
      </c>
      <c r="Y3994" s="12">
        <f>IF(OR(LEFT(K3994,4)="LVAX",LEFT(K3994,6)="MV15AX",LEFT(K3994,4)="CTAX",LEFT(K3994,2)="W|"),2*N3994*O3994,0)</f>
        <v/>
      </c>
      <c r="Z3994" s="12" t="inlineStr"/>
      <c r="AA3994" s="12">
        <f>N3994*O3994</f>
        <v/>
      </c>
    </row>
    <row r="3995">
      <c r="A3995" s="12" t="inlineStr">
        <is>
          <t>H-I-0011</t>
        </is>
      </c>
      <c r="B3995" s="12" t="inlineStr">
        <is>
          <t>H</t>
        </is>
      </c>
      <c r="C3995" s="12" t="inlineStr">
        <is>
          <t>BESS</t>
        </is>
      </c>
      <c r="D3995" s="12" t="inlineStr">
        <is>
          <t>Discrete device to JB JB-BESS PCS / MV skid-DI01: 10 x 1 pr (field cables)</t>
        </is>
      </c>
      <c r="E3995" s="12" t="inlineStr"/>
      <c r="F3995" s="12" t="inlineStr">
        <is>
          <t>BESS PCS / MV skid</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10</v>
      </c>
      <c r="O3995" s="12" t="n">
        <v>1</v>
      </c>
      <c r="P3995" s="12" t="n"/>
      <c r="Q3995" s="12" t="n"/>
      <c r="R3995" s="12" t="n"/>
      <c r="S3995" s="12" t="inlineStr">
        <is>
          <t>Tray / conduit</t>
        </is>
      </c>
      <c r="T3995" s="15" t="n">
        <v>43</v>
      </c>
      <c r="U3995" s="15" t="n">
        <v>10</v>
      </c>
      <c r="V3995" s="15">
        <f>ROUNDUP((T3995+U3995+2*'Read Me'!$B$13)*(1+'Read Me'!$B$12),-1)</f>
        <v/>
      </c>
      <c r="W3995" s="15">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H-I-0012</t>
        </is>
      </c>
      <c r="B3996" s="12" t="inlineStr">
        <is>
          <t>H</t>
        </is>
      </c>
      <c r="C3996" s="12" t="inlineStr">
        <is>
          <t>BESS</t>
        </is>
      </c>
      <c r="D3996" s="12" t="inlineStr">
        <is>
          <t>Home run JB-BESS PCS / MV skid-DI01 to the control / marshalling room</t>
        </is>
      </c>
      <c r="E3996" s="12" t="inlineStr"/>
      <c r="F3996" s="12" t="inlineStr">
        <is>
          <t>BESS EMS / SCADA and revenue metering</t>
        </is>
      </c>
      <c r="G3996" s="12" t="inlineStr">
        <is>
          <t>JB-BESS PCS / MV skid-DI01</t>
        </is>
      </c>
      <c r="H3996" s="12" t="inlineStr">
        <is>
          <t>BESS PCS / MV skid</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5" t="n">
        <v>30</v>
      </c>
      <c r="U3996" s="15" t="n">
        <v>107</v>
      </c>
      <c r="V3996" s="15">
        <f>ROUNDUP((T3996+U3996+2*'Read Me'!$B$13)*(1+'Read Me'!$B$12),-1)</f>
        <v/>
      </c>
      <c r="W3996" s="15">
        <f>V3996*N3996*O3996</f>
        <v/>
      </c>
      <c r="X3996" s="12">
        <f>IF(LEFT(I3996,2)="MV",2*N3996*IF(L3996="1/C",O3996,1),0)</f>
        <v/>
      </c>
      <c r="Y3996" s="12">
        <f>IF(OR(LEFT(K3996,4)="LVAX",LEFT(K3996,6)="MV15AX",LEFT(K3996,4)="CTAX",LEFT(K3996,2)="W|"),2*N3996*O3996,0)</f>
        <v/>
      </c>
      <c r="Z3996" s="12" t="inlineStr"/>
      <c r="AA3996" s="12">
        <f>N3996*O3996</f>
        <v/>
      </c>
    </row>
    <row r="3997">
      <c r="A3997" s="12" t="inlineStr">
        <is>
          <t>H-I-0013</t>
        </is>
      </c>
      <c r="B3997" s="12" t="inlineStr">
        <is>
          <t>H</t>
        </is>
      </c>
      <c r="C3997" s="12" t="inlineStr">
        <is>
          <t>BESS</t>
        </is>
      </c>
      <c r="D3997" s="12" t="inlineStr">
        <is>
          <t>Analog instrument to JB JB-BESS PCS / MV skid-AI01: 6 x 1 pr (field cables)</t>
        </is>
      </c>
      <c r="E3997" s="12" t="inlineStr"/>
      <c r="F3997" s="12" t="inlineStr">
        <is>
          <t>BESS PCS / MV skid</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6</v>
      </c>
      <c r="O3997" s="12" t="n">
        <v>1</v>
      </c>
      <c r="P3997" s="12" t="n"/>
      <c r="Q3997" s="12" t="n"/>
      <c r="R3997" s="12" t="n"/>
      <c r="S3997" s="12" t="inlineStr">
        <is>
          <t>Tray / conduit</t>
        </is>
      </c>
      <c r="T3997" s="15" t="n">
        <v>43</v>
      </c>
      <c r="U3997" s="15" t="n">
        <v>10</v>
      </c>
      <c r="V3997" s="15">
        <f>ROUNDUP((T3997+U3997+2*'Read Me'!$B$13)*(1+'Read Me'!$B$12),-1)</f>
        <v/>
      </c>
      <c r="W3997" s="15">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H-I-0014</t>
        </is>
      </c>
      <c r="B3998" s="12" t="inlineStr">
        <is>
          <t>H</t>
        </is>
      </c>
      <c r="C3998" s="12" t="inlineStr">
        <is>
          <t>BESS</t>
        </is>
      </c>
      <c r="D3998" s="12" t="inlineStr">
        <is>
          <t>Home run JB-BESS PCS / MV skid-AI01 to the control / marshalling room</t>
        </is>
      </c>
      <c r="E3998" s="12" t="inlineStr"/>
      <c r="F3998" s="12" t="inlineStr">
        <is>
          <t>BESS EMS / SCADA and revenue metering</t>
        </is>
      </c>
      <c r="G3998" s="12" t="inlineStr">
        <is>
          <t>JB-BESS PCS / MV skid-AI01</t>
        </is>
      </c>
      <c r="H3998" s="12" t="inlineStr">
        <is>
          <t>BESS PCS / MV skid</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5" t="n">
        <v>300</v>
      </c>
      <c r="U3998" s="15" t="n">
        <v>161</v>
      </c>
      <c r="V3998" s="15">
        <f>ROUNDUP((T3998+U3998+2*'Read Me'!$B$13)*(1+'Read Me'!$B$12),-1)</f>
        <v/>
      </c>
      <c r="W3998" s="15">
        <f>V3998*N3998*O3998</f>
        <v/>
      </c>
      <c r="X3998" s="12">
        <f>IF(LEFT(I3998,2)="MV",2*N3998*IF(L3998="1/C",O3998,1),0)</f>
        <v/>
      </c>
      <c r="Y3998" s="12">
        <f>IF(OR(LEFT(K3998,4)="LVAX",LEFT(K3998,6)="MV15AX",LEFT(K3998,4)="CTAX",LEFT(K3998,2)="W|"),2*N3998*O3998,0)</f>
        <v/>
      </c>
      <c r="Z3998" s="12" t="inlineStr"/>
      <c r="AA3998" s="12">
        <f>N3998*O3998</f>
        <v/>
      </c>
    </row>
    <row r="3999">
      <c r="A3999" s="12" t="inlineStr">
        <is>
          <t>H-I-0015</t>
        </is>
      </c>
      <c r="B3999" s="12" t="inlineStr">
        <is>
          <t>H</t>
        </is>
      </c>
      <c r="C3999" s="12" t="inlineStr">
        <is>
          <t>BESS</t>
        </is>
      </c>
      <c r="D3999" s="12" t="inlineStr">
        <is>
          <t>Discrete device to JB JB-BESS PCS / MV skid-DI01: 10 x 1 pr (field cables)</t>
        </is>
      </c>
      <c r="E3999" s="12" t="inlineStr"/>
      <c r="F3999" s="12" t="inlineStr">
        <is>
          <t>BESS PCS / MV skid</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10</v>
      </c>
      <c r="O3999" s="12" t="n">
        <v>1</v>
      </c>
      <c r="P3999" s="12" t="n"/>
      <c r="Q3999" s="12" t="n"/>
      <c r="R3999" s="12" t="n"/>
      <c r="S3999" s="12" t="inlineStr">
        <is>
          <t>Tray / conduit</t>
        </is>
      </c>
      <c r="T3999" s="15" t="n">
        <v>43</v>
      </c>
      <c r="U3999" s="15" t="n">
        <v>10</v>
      </c>
      <c r="V3999" s="15">
        <f>ROUNDUP((T3999+U3999+2*'Read Me'!$B$13)*(1+'Read Me'!$B$12),-1)</f>
        <v/>
      </c>
      <c r="W3999" s="15">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H-I-0016</t>
        </is>
      </c>
      <c r="B4000" s="12" t="inlineStr">
        <is>
          <t>H</t>
        </is>
      </c>
      <c r="C4000" s="12" t="inlineStr">
        <is>
          <t>BESS</t>
        </is>
      </c>
      <c r="D4000" s="12" t="inlineStr">
        <is>
          <t>Home run JB-BESS PCS / MV skid-DI01 to the control / marshalling room</t>
        </is>
      </c>
      <c r="E4000" s="12" t="inlineStr"/>
      <c r="F4000" s="12" t="inlineStr">
        <is>
          <t>BESS EMS / SCADA and revenue metering</t>
        </is>
      </c>
      <c r="G4000" s="12" t="inlineStr">
        <is>
          <t>JB-BESS PCS / MV skid-DI01</t>
        </is>
      </c>
      <c r="H4000" s="12" t="inlineStr">
        <is>
          <t>BESS PCS / MV skid</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5" t="n">
        <v>300</v>
      </c>
      <c r="U4000" s="15" t="n">
        <v>161</v>
      </c>
      <c r="V4000" s="15">
        <f>ROUNDUP((T4000+U4000+2*'Read Me'!$B$13)*(1+'Read Me'!$B$12),-1)</f>
        <v/>
      </c>
      <c r="W4000" s="15">
        <f>V4000*N4000*O4000</f>
        <v/>
      </c>
      <c r="X4000" s="12">
        <f>IF(LEFT(I4000,2)="MV",2*N4000*IF(L4000="1/C",O4000,1),0)</f>
        <v/>
      </c>
      <c r="Y4000" s="12">
        <f>IF(OR(LEFT(K4000,4)="LVAX",LEFT(K4000,6)="MV15AX",LEFT(K4000,4)="CTAX",LEFT(K4000,2)="W|"),2*N4000*O4000,0)</f>
        <v/>
      </c>
      <c r="Z4000" s="12" t="inlineStr"/>
      <c r="AA4000" s="12">
        <f>N4000*O4000</f>
        <v/>
      </c>
    </row>
    <row r="4001">
      <c r="A4001" s="12" t="inlineStr">
        <is>
          <t>H-I-0017</t>
        </is>
      </c>
      <c r="B4001" s="12" t="inlineStr">
        <is>
          <t>H</t>
        </is>
      </c>
      <c r="C4001" s="12" t="inlineStr">
        <is>
          <t>BESS</t>
        </is>
      </c>
      <c r="D4001" s="12" t="inlineStr">
        <is>
          <t>Analog instrument to JB JB-BESS PCS / MV skid-AI01: 6 x 1 pr (field cables)</t>
        </is>
      </c>
      <c r="E4001" s="12" t="inlineStr"/>
      <c r="F4001" s="12" t="inlineStr">
        <is>
          <t>BESS PCS / MV skid</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6</v>
      </c>
      <c r="O4001" s="12" t="n">
        <v>1</v>
      </c>
      <c r="P4001" s="12" t="n"/>
      <c r="Q4001" s="12" t="n"/>
      <c r="R4001" s="12" t="n"/>
      <c r="S4001" s="12" t="inlineStr">
        <is>
          <t>Tray / conduit</t>
        </is>
      </c>
      <c r="T4001" s="15" t="n">
        <v>43</v>
      </c>
      <c r="U4001" s="15" t="n">
        <v>10</v>
      </c>
      <c r="V4001" s="15">
        <f>ROUNDUP((T4001+U4001+2*'Read Me'!$B$13)*(1+'Read Me'!$B$12),-1)</f>
        <v/>
      </c>
      <c r="W4001" s="15">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H-I-0018</t>
        </is>
      </c>
      <c r="B4002" s="12" t="inlineStr">
        <is>
          <t>H</t>
        </is>
      </c>
      <c r="C4002" s="12" t="inlineStr">
        <is>
          <t>BESS</t>
        </is>
      </c>
      <c r="D4002" s="12" t="inlineStr">
        <is>
          <t>Home run JB-BESS PCS / MV skid-AI01 to the control / marshalling room</t>
        </is>
      </c>
      <c r="E4002" s="12" t="inlineStr"/>
      <c r="F4002" s="12" t="inlineStr">
        <is>
          <t>BESS EMS / SCADA and revenue metering</t>
        </is>
      </c>
      <c r="G4002" s="12" t="inlineStr">
        <is>
          <t>JB-BESS PCS / MV skid-AI01</t>
        </is>
      </c>
      <c r="H4002" s="12" t="inlineStr">
        <is>
          <t>BESS PCS / MV skid</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5" t="n">
        <v>160</v>
      </c>
      <c r="U4002" s="15" t="n">
        <v>181</v>
      </c>
      <c r="V4002" s="15">
        <f>ROUNDUP((T4002+U4002+2*'Read Me'!$B$13)*(1+'Read Me'!$B$12),-1)</f>
        <v/>
      </c>
      <c r="W4002" s="15">
        <f>V4002*N4002*O4002</f>
        <v/>
      </c>
      <c r="X4002" s="12">
        <f>IF(LEFT(I4002,2)="MV",2*N4002*IF(L4002="1/C",O4002,1),0)</f>
        <v/>
      </c>
      <c r="Y4002" s="12">
        <f>IF(OR(LEFT(K4002,4)="LVAX",LEFT(K4002,6)="MV15AX",LEFT(K4002,4)="CTAX",LEFT(K4002,2)="W|"),2*N4002*O4002,0)</f>
        <v/>
      </c>
      <c r="Z4002" s="12" t="inlineStr"/>
      <c r="AA4002" s="12">
        <f>N4002*O4002</f>
        <v/>
      </c>
    </row>
    <row r="4003">
      <c r="A4003" s="12" t="inlineStr">
        <is>
          <t>H-I-0019</t>
        </is>
      </c>
      <c r="B4003" s="12" t="inlineStr">
        <is>
          <t>H</t>
        </is>
      </c>
      <c r="C4003" s="12" t="inlineStr">
        <is>
          <t>BESS</t>
        </is>
      </c>
      <c r="D4003" s="12" t="inlineStr">
        <is>
          <t>Discrete device to JB JB-BESS PCS / MV skid-DI01: 10 x 1 pr (field cables)</t>
        </is>
      </c>
      <c r="E4003" s="12" t="inlineStr"/>
      <c r="F4003" s="12" t="inlineStr">
        <is>
          <t>BESS PCS / MV skid</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10</v>
      </c>
      <c r="O4003" s="12" t="n">
        <v>1</v>
      </c>
      <c r="P4003" s="12" t="n"/>
      <c r="Q4003" s="12" t="n"/>
      <c r="R4003" s="12" t="n"/>
      <c r="S4003" s="12" t="inlineStr">
        <is>
          <t>Tray / conduit</t>
        </is>
      </c>
      <c r="T4003" s="15" t="n">
        <v>43</v>
      </c>
      <c r="U4003" s="15" t="n">
        <v>10</v>
      </c>
      <c r="V4003" s="15">
        <f>ROUNDUP((T4003+U4003+2*'Read Me'!$B$13)*(1+'Read Me'!$B$12),-1)</f>
        <v/>
      </c>
      <c r="W4003" s="15">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H-I-0020</t>
        </is>
      </c>
      <c r="B4004" s="12" t="inlineStr">
        <is>
          <t>H</t>
        </is>
      </c>
      <c r="C4004" s="12" t="inlineStr">
        <is>
          <t>BESS</t>
        </is>
      </c>
      <c r="D4004" s="12" t="inlineStr">
        <is>
          <t>Home run JB-BESS PCS / MV skid-DI01 to the control / marshalling room</t>
        </is>
      </c>
      <c r="E4004" s="12" t="inlineStr"/>
      <c r="F4004" s="12" t="inlineStr">
        <is>
          <t>BESS EMS / SCADA and revenue metering</t>
        </is>
      </c>
      <c r="G4004" s="12" t="inlineStr">
        <is>
          <t>JB-BESS PCS / MV skid-DI01</t>
        </is>
      </c>
      <c r="H4004" s="12" t="inlineStr">
        <is>
          <t>BESS PCS / MV skid</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5" t="n">
        <v>160</v>
      </c>
      <c r="U4004" s="15" t="n">
        <v>181</v>
      </c>
      <c r="V4004" s="15">
        <f>ROUNDUP((T4004+U4004+2*'Read Me'!$B$13)*(1+'Read Me'!$B$12),-1)</f>
        <v/>
      </c>
      <c r="W4004" s="15">
        <f>V4004*N4004*O4004</f>
        <v/>
      </c>
      <c r="X4004" s="12">
        <f>IF(LEFT(I4004,2)="MV",2*N4004*IF(L4004="1/C",O4004,1),0)</f>
        <v/>
      </c>
      <c r="Y4004" s="12">
        <f>IF(OR(LEFT(K4004,4)="LVAX",LEFT(K4004,6)="MV15AX",LEFT(K4004,4)="CTAX",LEFT(K4004,2)="W|"),2*N4004*O4004,0)</f>
        <v/>
      </c>
      <c r="Z4004" s="12" t="inlineStr"/>
      <c r="AA4004" s="12">
        <f>N4004*O4004</f>
        <v/>
      </c>
    </row>
    <row r="4005">
      <c r="A4005" s="12" t="inlineStr">
        <is>
          <t>H-I-0021</t>
        </is>
      </c>
      <c r="B4005" s="12" t="inlineStr">
        <is>
          <t>H</t>
        </is>
      </c>
      <c r="C4005" s="12" t="inlineStr">
        <is>
          <t>BESS</t>
        </is>
      </c>
      <c r="D4005" s="12" t="inlineStr">
        <is>
          <t>Analog instrument to JB JB-BESS PCS / MV skid-AI01: 6 x 1 pr (field cables)</t>
        </is>
      </c>
      <c r="E4005" s="12" t="inlineStr"/>
      <c r="F4005" s="12" t="inlineStr">
        <is>
          <t>BESS PCS / MV skid</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6</v>
      </c>
      <c r="O4005" s="12" t="n">
        <v>1</v>
      </c>
      <c r="P4005" s="12" t="n"/>
      <c r="Q4005" s="12" t="n"/>
      <c r="R4005" s="12" t="n"/>
      <c r="S4005" s="12" t="inlineStr">
        <is>
          <t>Tray / conduit</t>
        </is>
      </c>
      <c r="T4005" s="15" t="n">
        <v>43</v>
      </c>
      <c r="U4005" s="15" t="n">
        <v>10</v>
      </c>
      <c r="V4005" s="15">
        <f>ROUNDUP((T4005+U4005+2*'Read Me'!$B$13)*(1+'Read Me'!$B$12),-1)</f>
        <v/>
      </c>
      <c r="W4005" s="15">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H-I-0022</t>
        </is>
      </c>
      <c r="B4006" s="12" t="inlineStr">
        <is>
          <t>H</t>
        </is>
      </c>
      <c r="C4006" s="12" t="inlineStr">
        <is>
          <t>BESS</t>
        </is>
      </c>
      <c r="D4006" s="12" t="inlineStr">
        <is>
          <t>Home run JB-BESS PCS / MV skid-AI01 to the control / marshalling room</t>
        </is>
      </c>
      <c r="E4006" s="12" t="inlineStr"/>
      <c r="F4006" s="12" t="inlineStr">
        <is>
          <t>BESS EMS / SCADA and revenue metering</t>
        </is>
      </c>
      <c r="G4006" s="12" t="inlineStr">
        <is>
          <t>JB-BESS PCS / MV skid-AI01</t>
        </is>
      </c>
      <c r="H4006" s="12" t="inlineStr">
        <is>
          <t>BESS PCS / MV skid</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5" t="n">
        <v>30</v>
      </c>
      <c r="U4006" s="15" t="n">
        <v>165</v>
      </c>
      <c r="V4006" s="15">
        <f>ROUNDUP((T4006+U4006+2*'Read Me'!$B$13)*(1+'Read Me'!$B$12),-1)</f>
        <v/>
      </c>
      <c r="W4006" s="15">
        <f>V4006*N4006*O4006</f>
        <v/>
      </c>
      <c r="X4006" s="12">
        <f>IF(LEFT(I4006,2)="MV",2*N4006*IF(L4006="1/C",O4006,1),0)</f>
        <v/>
      </c>
      <c r="Y4006" s="12">
        <f>IF(OR(LEFT(K4006,4)="LVAX",LEFT(K4006,6)="MV15AX",LEFT(K4006,4)="CTAX",LEFT(K4006,2)="W|"),2*N4006*O4006,0)</f>
        <v/>
      </c>
      <c r="Z4006" s="12" t="inlineStr"/>
      <c r="AA4006" s="12">
        <f>N4006*O4006</f>
        <v/>
      </c>
    </row>
    <row r="4007">
      <c r="A4007" s="12" t="inlineStr">
        <is>
          <t>H-I-0023</t>
        </is>
      </c>
      <c r="B4007" s="12" t="inlineStr">
        <is>
          <t>H</t>
        </is>
      </c>
      <c r="C4007" s="12" t="inlineStr">
        <is>
          <t>BESS</t>
        </is>
      </c>
      <c r="D4007" s="12" t="inlineStr">
        <is>
          <t>Discrete device to JB JB-BESS PCS / MV skid-DI01: 10 x 1 pr (field cables)</t>
        </is>
      </c>
      <c r="E4007" s="12" t="inlineStr"/>
      <c r="F4007" s="12" t="inlineStr">
        <is>
          <t>BESS PCS / MV skid</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10</v>
      </c>
      <c r="O4007" s="12" t="n">
        <v>1</v>
      </c>
      <c r="P4007" s="12" t="n"/>
      <c r="Q4007" s="12" t="n"/>
      <c r="R4007" s="12" t="n"/>
      <c r="S4007" s="12" t="inlineStr">
        <is>
          <t>Tray / conduit</t>
        </is>
      </c>
      <c r="T4007" s="15" t="n">
        <v>43</v>
      </c>
      <c r="U4007" s="15" t="n">
        <v>10</v>
      </c>
      <c r="V4007" s="15">
        <f>ROUNDUP((T4007+U4007+2*'Read Me'!$B$13)*(1+'Read Me'!$B$12),-1)</f>
        <v/>
      </c>
      <c r="W4007" s="15">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H-I-0024</t>
        </is>
      </c>
      <c r="B4008" s="12" t="inlineStr">
        <is>
          <t>H</t>
        </is>
      </c>
      <c r="C4008" s="12" t="inlineStr">
        <is>
          <t>BESS</t>
        </is>
      </c>
      <c r="D4008" s="12" t="inlineStr">
        <is>
          <t>Home run JB-BESS PCS / MV skid-DI01 to the control / marshalling room</t>
        </is>
      </c>
      <c r="E4008" s="12" t="inlineStr"/>
      <c r="F4008" s="12" t="inlineStr">
        <is>
          <t>BESS EMS / SCADA and revenue metering</t>
        </is>
      </c>
      <c r="G4008" s="12" t="inlineStr">
        <is>
          <t>JB-BESS PCS / MV skid-DI01</t>
        </is>
      </c>
      <c r="H4008" s="12" t="inlineStr">
        <is>
          <t>BESS PCS / MV skid</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5" t="n">
        <v>30</v>
      </c>
      <c r="U4008" s="15" t="n">
        <v>165</v>
      </c>
      <c r="V4008" s="15">
        <f>ROUNDUP((T4008+U4008+2*'Read Me'!$B$13)*(1+'Read Me'!$B$12),-1)</f>
        <v/>
      </c>
      <c r="W4008" s="15">
        <f>V4008*N4008*O4008</f>
        <v/>
      </c>
      <c r="X4008" s="12">
        <f>IF(LEFT(I4008,2)="MV",2*N4008*IF(L4008="1/C",O4008,1),0)</f>
        <v/>
      </c>
      <c r="Y4008" s="12">
        <f>IF(OR(LEFT(K4008,4)="LVAX",LEFT(K4008,6)="MV15AX",LEFT(K4008,4)="CTAX",LEFT(K4008,2)="W|"),2*N4008*O4008,0)</f>
        <v/>
      </c>
      <c r="Z4008" s="12" t="inlineStr"/>
      <c r="AA4008" s="12">
        <f>N4008*O4008</f>
        <v/>
      </c>
    </row>
    <row r="4009">
      <c r="A4009" s="12" t="inlineStr">
        <is>
          <t>H-I-0025</t>
        </is>
      </c>
      <c r="B4009" s="12" t="inlineStr">
        <is>
          <t>H</t>
        </is>
      </c>
      <c r="C4009" s="12" t="inlineStr">
        <is>
          <t>BESS</t>
        </is>
      </c>
      <c r="D4009" s="12" t="inlineStr">
        <is>
          <t>Analog instrument to JB JB-BESS PCS / MV skid-AI01: 6 x 1 pr (field cables)</t>
        </is>
      </c>
      <c r="E4009" s="12" t="inlineStr"/>
      <c r="F4009" s="12" t="inlineStr">
        <is>
          <t>BESS PCS / MV skid</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6</v>
      </c>
      <c r="O4009" s="12" t="n">
        <v>1</v>
      </c>
      <c r="P4009" s="12" t="n"/>
      <c r="Q4009" s="12" t="n"/>
      <c r="R4009" s="12" t="n"/>
      <c r="S4009" s="12" t="inlineStr">
        <is>
          <t>Tray / conduit</t>
        </is>
      </c>
      <c r="T4009" s="15" t="n">
        <v>43</v>
      </c>
      <c r="U4009" s="15" t="n">
        <v>10</v>
      </c>
      <c r="V4009" s="15">
        <f>ROUNDUP((T4009+U4009+2*'Read Me'!$B$13)*(1+'Read Me'!$B$12),-1)</f>
        <v/>
      </c>
      <c r="W4009" s="15">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H-I-0026</t>
        </is>
      </c>
      <c r="B4010" s="12" t="inlineStr">
        <is>
          <t>H</t>
        </is>
      </c>
      <c r="C4010" s="12" t="inlineStr">
        <is>
          <t>BESS</t>
        </is>
      </c>
      <c r="D4010" s="12" t="inlineStr">
        <is>
          <t>Home run JB-BESS PCS / MV skid-AI01 to the control / marshalling room</t>
        </is>
      </c>
      <c r="E4010" s="12" t="inlineStr"/>
      <c r="F4010" s="12" t="inlineStr">
        <is>
          <t>BESS EMS / SCADA and revenue metering</t>
        </is>
      </c>
      <c r="G4010" s="12" t="inlineStr">
        <is>
          <t>JB-BESS PCS / MV skid-AI01</t>
        </is>
      </c>
      <c r="H4010" s="12" t="inlineStr">
        <is>
          <t>BESS PCS / MV skid</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5" t="n">
        <v>300</v>
      </c>
      <c r="U4010" s="15" t="n">
        <v>219</v>
      </c>
      <c r="V4010" s="15">
        <f>ROUNDUP((T4010+U4010+2*'Read Me'!$B$13)*(1+'Read Me'!$B$12),-1)</f>
        <v/>
      </c>
      <c r="W4010" s="15">
        <f>V4010*N4010*O4010</f>
        <v/>
      </c>
      <c r="X4010" s="12">
        <f>IF(LEFT(I4010,2)="MV",2*N4010*IF(L4010="1/C",O4010,1),0)</f>
        <v/>
      </c>
      <c r="Y4010" s="12">
        <f>IF(OR(LEFT(K4010,4)="LVAX",LEFT(K4010,6)="MV15AX",LEFT(K4010,4)="CTAX",LEFT(K4010,2)="W|"),2*N4010*O4010,0)</f>
        <v/>
      </c>
      <c r="Z4010" s="12" t="inlineStr"/>
      <c r="AA4010" s="12">
        <f>N4010*O4010</f>
        <v/>
      </c>
    </row>
    <row r="4011">
      <c r="A4011" s="12" t="inlineStr">
        <is>
          <t>H-I-0027</t>
        </is>
      </c>
      <c r="B4011" s="12" t="inlineStr">
        <is>
          <t>H</t>
        </is>
      </c>
      <c r="C4011" s="12" t="inlineStr">
        <is>
          <t>BESS</t>
        </is>
      </c>
      <c r="D4011" s="12" t="inlineStr">
        <is>
          <t>Discrete device to JB JB-BESS PCS / MV skid-DI01: 10 x 1 pr (field cables)</t>
        </is>
      </c>
      <c r="E4011" s="12" t="inlineStr"/>
      <c r="F4011" s="12" t="inlineStr">
        <is>
          <t>BESS PCS / MV skid</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10</v>
      </c>
      <c r="O4011" s="12" t="n">
        <v>1</v>
      </c>
      <c r="P4011" s="12" t="n"/>
      <c r="Q4011" s="12" t="n"/>
      <c r="R4011" s="12" t="n"/>
      <c r="S4011" s="12" t="inlineStr">
        <is>
          <t>Tray / conduit</t>
        </is>
      </c>
      <c r="T4011" s="15" t="n">
        <v>43</v>
      </c>
      <c r="U4011" s="15" t="n">
        <v>10</v>
      </c>
      <c r="V4011" s="15">
        <f>ROUNDUP((T4011+U4011+2*'Read Me'!$B$13)*(1+'Read Me'!$B$12),-1)</f>
        <v/>
      </c>
      <c r="W4011" s="15">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H-I-0028</t>
        </is>
      </c>
      <c r="B4012" s="12" t="inlineStr">
        <is>
          <t>H</t>
        </is>
      </c>
      <c r="C4012" s="12" t="inlineStr">
        <is>
          <t>BESS</t>
        </is>
      </c>
      <c r="D4012" s="12" t="inlineStr">
        <is>
          <t>Home run JB-BESS PCS / MV skid-DI01 to the control / marshalling room</t>
        </is>
      </c>
      <c r="E4012" s="12" t="inlineStr"/>
      <c r="F4012" s="12" t="inlineStr">
        <is>
          <t>BESS EMS / SCADA and revenue metering</t>
        </is>
      </c>
      <c r="G4012" s="12" t="inlineStr">
        <is>
          <t>JB-BESS PCS / MV skid-DI01</t>
        </is>
      </c>
      <c r="H4012" s="12" t="inlineStr">
        <is>
          <t>BESS PCS / MV skid</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5" t="n">
        <v>300</v>
      </c>
      <c r="U4012" s="15" t="n">
        <v>219</v>
      </c>
      <c r="V4012" s="15">
        <f>ROUNDUP((T4012+U4012+2*'Read Me'!$B$13)*(1+'Read Me'!$B$12),-1)</f>
        <v/>
      </c>
      <c r="W4012" s="15">
        <f>V4012*N4012*O4012</f>
        <v/>
      </c>
      <c r="X4012" s="12">
        <f>IF(LEFT(I4012,2)="MV",2*N4012*IF(L4012="1/C",O4012,1),0)</f>
        <v/>
      </c>
      <c r="Y4012" s="12">
        <f>IF(OR(LEFT(K4012,4)="LVAX",LEFT(K4012,6)="MV15AX",LEFT(K4012,4)="CTAX",LEFT(K4012,2)="W|"),2*N4012*O4012,0)</f>
        <v/>
      </c>
      <c r="Z4012" s="12" t="inlineStr"/>
      <c r="AA4012" s="12">
        <f>N4012*O4012</f>
        <v/>
      </c>
    </row>
    <row r="4013">
      <c r="A4013" s="12" t="inlineStr">
        <is>
          <t>H-I-0029</t>
        </is>
      </c>
      <c r="B4013" s="12" t="inlineStr">
        <is>
          <t>H</t>
        </is>
      </c>
      <c r="C4013" s="12" t="inlineStr">
        <is>
          <t>BESS</t>
        </is>
      </c>
      <c r="D4013" s="12" t="inlineStr">
        <is>
          <t>Analog instrument to JB JB-BESS PCS / MV skid-AI01: 6 x 1 pr (field cables)</t>
        </is>
      </c>
      <c r="E4013" s="12" t="inlineStr"/>
      <c r="F4013" s="12" t="inlineStr">
        <is>
          <t>BESS PCS / MV skid</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6</v>
      </c>
      <c r="O4013" s="12" t="n">
        <v>1</v>
      </c>
      <c r="P4013" s="12" t="n"/>
      <c r="Q4013" s="12" t="n"/>
      <c r="R4013" s="12" t="n"/>
      <c r="S4013" s="12" t="inlineStr">
        <is>
          <t>Tray / conduit</t>
        </is>
      </c>
      <c r="T4013" s="15" t="n">
        <v>43</v>
      </c>
      <c r="U4013" s="15" t="n">
        <v>10</v>
      </c>
      <c r="V4013" s="15">
        <f>ROUNDUP((T4013+U4013+2*'Read Me'!$B$13)*(1+'Read Me'!$B$12),-1)</f>
        <v/>
      </c>
      <c r="W4013" s="15">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H-I-0030</t>
        </is>
      </c>
      <c r="B4014" s="12" t="inlineStr">
        <is>
          <t>H</t>
        </is>
      </c>
      <c r="C4014" s="12" t="inlineStr">
        <is>
          <t>BESS</t>
        </is>
      </c>
      <c r="D4014" s="12" t="inlineStr">
        <is>
          <t>Home run JB-BESS PCS / MV skid-AI01 to the control / marshalling room</t>
        </is>
      </c>
      <c r="E4014" s="12" t="inlineStr"/>
      <c r="F4014" s="12" t="inlineStr">
        <is>
          <t>BESS EMS / SCADA and revenue metering</t>
        </is>
      </c>
      <c r="G4014" s="12" t="inlineStr">
        <is>
          <t>JB-BESS PCS / MV skid-AI01</t>
        </is>
      </c>
      <c r="H4014" s="12" t="inlineStr">
        <is>
          <t>BESS PCS / MV skid</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5" t="n">
        <v>160</v>
      </c>
      <c r="U4014" s="15" t="n">
        <v>239</v>
      </c>
      <c r="V4014" s="15">
        <f>ROUNDUP((T4014+U4014+2*'Read Me'!$B$13)*(1+'Read Me'!$B$12),-1)</f>
        <v/>
      </c>
      <c r="W4014" s="15">
        <f>V4014*N4014*O4014</f>
        <v/>
      </c>
      <c r="X4014" s="12">
        <f>IF(LEFT(I4014,2)="MV",2*N4014*IF(L4014="1/C",O4014,1),0)</f>
        <v/>
      </c>
      <c r="Y4014" s="12">
        <f>IF(OR(LEFT(K4014,4)="LVAX",LEFT(K4014,6)="MV15AX",LEFT(K4014,4)="CTAX",LEFT(K4014,2)="W|"),2*N4014*O4014,0)</f>
        <v/>
      </c>
      <c r="Z4014" s="12" t="inlineStr"/>
      <c r="AA4014" s="12">
        <f>N4014*O4014</f>
        <v/>
      </c>
    </row>
    <row r="4015">
      <c r="A4015" s="12" t="inlineStr">
        <is>
          <t>H-I-0031</t>
        </is>
      </c>
      <c r="B4015" s="12" t="inlineStr">
        <is>
          <t>H</t>
        </is>
      </c>
      <c r="C4015" s="12" t="inlineStr">
        <is>
          <t>BESS</t>
        </is>
      </c>
      <c r="D4015" s="12" t="inlineStr">
        <is>
          <t>Discrete device to JB JB-BESS PCS / MV skid-DI01: 10 x 1 pr (field cables)</t>
        </is>
      </c>
      <c r="E4015" s="12" t="inlineStr"/>
      <c r="F4015" s="12" t="inlineStr">
        <is>
          <t>BESS PCS / MV skid</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10</v>
      </c>
      <c r="O4015" s="12" t="n">
        <v>1</v>
      </c>
      <c r="P4015" s="12" t="n"/>
      <c r="Q4015" s="12" t="n"/>
      <c r="R4015" s="12" t="n"/>
      <c r="S4015" s="12" t="inlineStr">
        <is>
          <t>Tray / conduit</t>
        </is>
      </c>
      <c r="T4015" s="15" t="n">
        <v>43</v>
      </c>
      <c r="U4015" s="15" t="n">
        <v>10</v>
      </c>
      <c r="V4015" s="15">
        <f>ROUNDUP((T4015+U4015+2*'Read Me'!$B$13)*(1+'Read Me'!$B$12),-1)</f>
        <v/>
      </c>
      <c r="W4015" s="15">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H-I-0032</t>
        </is>
      </c>
      <c r="B4016" s="12" t="inlineStr">
        <is>
          <t>H</t>
        </is>
      </c>
      <c r="C4016" s="12" t="inlineStr">
        <is>
          <t>BESS</t>
        </is>
      </c>
      <c r="D4016" s="12" t="inlineStr">
        <is>
          <t>Home run JB-BESS PCS / MV skid-DI01 to the control / marshalling room</t>
        </is>
      </c>
      <c r="E4016" s="12" t="inlineStr"/>
      <c r="F4016" s="12" t="inlineStr">
        <is>
          <t>BESS EMS / SCADA and revenue metering</t>
        </is>
      </c>
      <c r="G4016" s="12" t="inlineStr">
        <is>
          <t>JB-BESS PCS / MV skid-DI01</t>
        </is>
      </c>
      <c r="H4016" s="12" t="inlineStr">
        <is>
          <t>BESS PCS / MV skid</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5" t="n">
        <v>160</v>
      </c>
      <c r="U4016" s="15" t="n">
        <v>239</v>
      </c>
      <c r="V4016" s="15">
        <f>ROUNDUP((T4016+U4016+2*'Read Me'!$B$13)*(1+'Read Me'!$B$12),-1)</f>
        <v/>
      </c>
      <c r="W4016" s="15">
        <f>V4016*N4016*O4016</f>
        <v/>
      </c>
      <c r="X4016" s="12">
        <f>IF(LEFT(I4016,2)="MV",2*N4016*IF(L4016="1/C",O4016,1),0)</f>
        <v/>
      </c>
      <c r="Y4016" s="12">
        <f>IF(OR(LEFT(K4016,4)="LVAX",LEFT(K4016,6)="MV15AX",LEFT(K4016,4)="CTAX",LEFT(K4016,2)="W|"),2*N4016*O4016,0)</f>
        <v/>
      </c>
      <c r="Z4016" s="12" t="inlineStr"/>
      <c r="AA4016" s="12">
        <f>N4016*O4016</f>
        <v/>
      </c>
    </row>
    <row r="4017">
      <c r="A4017" s="12" t="inlineStr">
        <is>
          <t>H-I-0033</t>
        </is>
      </c>
      <c r="B4017" s="12" t="inlineStr">
        <is>
          <t>H</t>
        </is>
      </c>
      <c r="C4017" s="12" t="inlineStr">
        <is>
          <t>BESS</t>
        </is>
      </c>
      <c r="D4017" s="12" t="inlineStr">
        <is>
          <t>Analog instrument to JB JB-BESS PCS / MV skid-AI01: 6 x 1 pr (field cables)</t>
        </is>
      </c>
      <c r="E4017" s="12" t="inlineStr"/>
      <c r="F4017" s="12" t="inlineStr">
        <is>
          <t>BESS PCS / MV skid</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6</v>
      </c>
      <c r="O4017" s="12" t="n">
        <v>1</v>
      </c>
      <c r="P4017" s="12" t="n"/>
      <c r="Q4017" s="12" t="n"/>
      <c r="R4017" s="12" t="n"/>
      <c r="S4017" s="12" t="inlineStr">
        <is>
          <t>Tray / conduit</t>
        </is>
      </c>
      <c r="T4017" s="15" t="n">
        <v>43</v>
      </c>
      <c r="U4017" s="15" t="n">
        <v>10</v>
      </c>
      <c r="V4017" s="15">
        <f>ROUNDUP((T4017+U4017+2*'Read Me'!$B$13)*(1+'Read Me'!$B$12),-1)</f>
        <v/>
      </c>
      <c r="W4017" s="15">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H-I-0034</t>
        </is>
      </c>
      <c r="B4018" s="12" t="inlineStr">
        <is>
          <t>H</t>
        </is>
      </c>
      <c r="C4018" s="12" t="inlineStr">
        <is>
          <t>BESS</t>
        </is>
      </c>
      <c r="D4018" s="12" t="inlineStr">
        <is>
          <t>Home run JB-BESS PCS / MV skid-AI01 to the control / marshalling room</t>
        </is>
      </c>
      <c r="E4018" s="12" t="inlineStr"/>
      <c r="F4018" s="12" t="inlineStr">
        <is>
          <t>BESS EMS / SCADA and revenue metering</t>
        </is>
      </c>
      <c r="G4018" s="12" t="inlineStr">
        <is>
          <t>JB-BESS PCS / MV skid-AI01</t>
        </is>
      </c>
      <c r="H4018" s="12" t="inlineStr">
        <is>
          <t>BESS PCS / MV skid</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5" t="n">
        <v>336</v>
      </c>
      <c r="U4018" s="15" t="n">
        <v>149</v>
      </c>
      <c r="V4018" s="15">
        <f>ROUNDUP((T4018+U4018+2*'Read Me'!$B$13)*(1+'Read Me'!$B$12),-1)</f>
        <v/>
      </c>
      <c r="W4018" s="15">
        <f>V4018*N4018*O4018</f>
        <v/>
      </c>
      <c r="X4018" s="12">
        <f>IF(LEFT(I4018,2)="MV",2*N4018*IF(L4018="1/C",O4018,1),0)</f>
        <v/>
      </c>
      <c r="Y4018" s="12">
        <f>IF(OR(LEFT(K4018,4)="LVAX",LEFT(K4018,6)="MV15AX",LEFT(K4018,4)="CTAX",LEFT(K4018,2)="W|"),2*N4018*O4018,0)</f>
        <v/>
      </c>
      <c r="Z4018" s="12" t="inlineStr"/>
      <c r="AA4018" s="12">
        <f>N4018*O4018</f>
        <v/>
      </c>
    </row>
    <row r="4019">
      <c r="A4019" s="12" t="inlineStr">
        <is>
          <t>H-I-0035</t>
        </is>
      </c>
      <c r="B4019" s="12" t="inlineStr">
        <is>
          <t>H</t>
        </is>
      </c>
      <c r="C4019" s="12" t="inlineStr">
        <is>
          <t>BESS</t>
        </is>
      </c>
      <c r="D4019" s="12" t="inlineStr">
        <is>
          <t>Discrete device to JB JB-BESS PCS / MV skid-DI01: 10 x 1 pr (field cables)</t>
        </is>
      </c>
      <c r="E4019" s="12" t="inlineStr"/>
      <c r="F4019" s="12" t="inlineStr">
        <is>
          <t>BESS PCS / MV skid</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PLTC|1 pr|16</t>
        </is>
      </c>
      <c r="L4019" s="12" t="inlineStr">
        <is>
          <t>1 pr</t>
        </is>
      </c>
      <c r="M4019" s="12" t="inlineStr">
        <is>
          <t>16</t>
        </is>
      </c>
      <c r="N4019" s="12" t="n">
        <v>10</v>
      </c>
      <c r="O4019" s="12" t="n">
        <v>1</v>
      </c>
      <c r="P4019" s="12" t="n"/>
      <c r="Q4019" s="12" t="n"/>
      <c r="R4019" s="12" t="n"/>
      <c r="S4019" s="12" t="inlineStr">
        <is>
          <t>Tray / conduit</t>
        </is>
      </c>
      <c r="T4019" s="15" t="n">
        <v>43</v>
      </c>
      <c r="U4019" s="15" t="n">
        <v>10</v>
      </c>
      <c r="V4019" s="15">
        <f>ROUNDUP((T4019+U4019+2*'Read Me'!$B$13)*(1+'Read Me'!$B$12),-1)</f>
        <v/>
      </c>
      <c r="W4019" s="15">
        <f>V4019*N4019*O4019</f>
        <v/>
      </c>
      <c r="X4019" s="12">
        <f>IF(LEFT(I4019,2)="MV",2*N4019*IF(L4019="1/C",O4019,1),0)</f>
        <v/>
      </c>
      <c r="Y4019" s="12">
        <f>IF(OR(LEFT(K4019,4)="LVAX",LEFT(K4019,6)="MV15AX",LEFT(K4019,4)="CTAX",LEFT(K4019,2)="W|"),2*N4019*O4019,0)</f>
        <v/>
      </c>
      <c r="Z4019" s="12" t="inlineStr">
        <is>
          <t>device-to-JB field wiring, one cable per device</t>
        </is>
      </c>
      <c r="AA4019" s="12">
        <f>N4019*O4019</f>
        <v/>
      </c>
    </row>
    <row r="4020">
      <c r="A4020" s="12" t="inlineStr">
        <is>
          <t>H-I-0036</t>
        </is>
      </c>
      <c r="B4020" s="12" t="inlineStr">
        <is>
          <t>H</t>
        </is>
      </c>
      <c r="C4020" s="12" t="inlineStr">
        <is>
          <t>BESS</t>
        </is>
      </c>
      <c r="D4020" s="12" t="inlineStr">
        <is>
          <t>Home run JB-BESS PCS / MV skid-DI01 to the control / marshalling room</t>
        </is>
      </c>
      <c r="E4020" s="12" t="inlineStr"/>
      <c r="F4020" s="12" t="inlineStr">
        <is>
          <t>BESS EMS / SCADA and revenue metering</t>
        </is>
      </c>
      <c r="G4020" s="12" t="inlineStr">
        <is>
          <t>JB-BESS PCS / MV skid-DI01</t>
        </is>
      </c>
      <c r="H4020" s="12" t="inlineStr">
        <is>
          <t>BESS PCS / MV skid</t>
        </is>
      </c>
      <c r="I4020" s="12" t="inlineStr">
        <is>
          <t>Instrumentation</t>
        </is>
      </c>
      <c r="J4020" s="12" t="inlineStr">
        <is>
          <t>Instrumentation PLTC / TC-ER 300 V, #18 twisted shielded pairs, overall shield</t>
        </is>
      </c>
      <c r="K4020" s="12" t="inlineStr">
        <is>
          <t>PLTC|24 pr|18</t>
        </is>
      </c>
      <c r="L4020" s="12" t="inlineStr">
        <is>
          <t>24 pr</t>
        </is>
      </c>
      <c r="M4020" s="12" t="inlineStr">
        <is>
          <t>18</t>
        </is>
      </c>
      <c r="N4020" s="12" t="n">
        <v>1</v>
      </c>
      <c r="O4020" s="12" t="n">
        <v>1</v>
      </c>
      <c r="P4020" s="12" t="n"/>
      <c r="Q4020" s="12" t="n"/>
      <c r="R4020" s="12" t="n"/>
      <c r="S4020" s="12" t="inlineStr">
        <is>
          <t>Duct bank</t>
        </is>
      </c>
      <c r="T4020" s="15" t="n">
        <v>336</v>
      </c>
      <c r="U4020" s="15" t="n">
        <v>149</v>
      </c>
      <c r="V4020" s="15">
        <f>ROUNDUP((T4020+U4020+2*'Read Me'!$B$13)*(1+'Read Me'!$B$12),-1)</f>
        <v/>
      </c>
      <c r="W4020" s="15">
        <f>V4020*N4020*O4020</f>
        <v/>
      </c>
      <c r="X4020" s="12">
        <f>IF(LEFT(I4020,2)="MV",2*N4020*IF(L4020="1/C",O4020,1),0)</f>
        <v/>
      </c>
      <c r="Y4020" s="12">
        <f>IF(OR(LEFT(K4020,4)="LVAX",LEFT(K4020,6)="MV15AX",LEFT(K4020,4)="CTAX",LEFT(K4020,2)="W|"),2*N4020*O4020,0)</f>
        <v/>
      </c>
      <c r="Z4020" s="12" t="inlineStr"/>
      <c r="AA4020" s="12">
        <f>N4020*O4020</f>
        <v/>
      </c>
    </row>
    <row r="4021">
      <c r="A4021" s="12" t="inlineStr">
        <is>
          <t>H-I-0037</t>
        </is>
      </c>
      <c r="B4021" s="12" t="inlineStr">
        <is>
          <t>H</t>
        </is>
      </c>
      <c r="C4021" s="12" t="inlineStr">
        <is>
          <t>BESS</t>
        </is>
      </c>
      <c r="D4021" s="12" t="inlineStr">
        <is>
          <t>Analog instrument to JB JB-BESS PCS / MV skid-AI01: 6 x 1 pr (field cables)</t>
        </is>
      </c>
      <c r="E4021" s="12" t="inlineStr"/>
      <c r="F4021" s="12" t="inlineStr">
        <is>
          <t>BESS PCS / MV skid</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PLTC|1 pr|16</t>
        </is>
      </c>
      <c r="L4021" s="12" t="inlineStr">
        <is>
          <t>1 pr</t>
        </is>
      </c>
      <c r="M4021" s="12" t="inlineStr">
        <is>
          <t>16</t>
        </is>
      </c>
      <c r="N4021" s="12" t="n">
        <v>6</v>
      </c>
      <c r="O4021" s="12" t="n">
        <v>1</v>
      </c>
      <c r="P4021" s="12" t="n"/>
      <c r="Q4021" s="12" t="n"/>
      <c r="R4021" s="12" t="n"/>
      <c r="S4021" s="12" t="inlineStr">
        <is>
          <t>Tray / conduit</t>
        </is>
      </c>
      <c r="T4021" s="15" t="n">
        <v>43</v>
      </c>
      <c r="U4021" s="15" t="n">
        <v>10</v>
      </c>
      <c r="V4021" s="15">
        <f>ROUNDUP((T4021+U4021+2*'Read Me'!$B$13)*(1+'Read Me'!$B$12),-1)</f>
        <v/>
      </c>
      <c r="W4021" s="15">
        <f>V4021*N4021*O4021</f>
        <v/>
      </c>
      <c r="X4021" s="12">
        <f>IF(LEFT(I4021,2)="MV",2*N4021*IF(L4021="1/C",O4021,1),0)</f>
        <v/>
      </c>
      <c r="Y4021" s="12">
        <f>IF(OR(LEFT(K4021,4)="LVAX",LEFT(K4021,6)="MV15AX",LEFT(K4021,4)="CTAX",LEFT(K4021,2)="W|"),2*N4021*O4021,0)</f>
        <v/>
      </c>
      <c r="Z4021" s="12" t="inlineStr">
        <is>
          <t>device-to-JB field wiring, one cable per device</t>
        </is>
      </c>
      <c r="AA4021" s="12">
        <f>N4021*O4021</f>
        <v/>
      </c>
    </row>
    <row r="4022">
      <c r="A4022" s="12" t="inlineStr">
        <is>
          <t>H-I-0038</t>
        </is>
      </c>
      <c r="B4022" s="12" t="inlineStr">
        <is>
          <t>H</t>
        </is>
      </c>
      <c r="C4022" s="12" t="inlineStr">
        <is>
          <t>BESS</t>
        </is>
      </c>
      <c r="D4022" s="12" t="inlineStr">
        <is>
          <t>Home run JB-BESS PCS / MV skid-AI01 to the control / marshalling room</t>
        </is>
      </c>
      <c r="E4022" s="12" t="inlineStr"/>
      <c r="F4022" s="12" t="inlineStr">
        <is>
          <t>BESS EMS / SCADA and revenue metering</t>
        </is>
      </c>
      <c r="G4022" s="12" t="inlineStr">
        <is>
          <t>JB-BESS PCS / MV skid-AI01</t>
        </is>
      </c>
      <c r="H4022" s="12" t="inlineStr">
        <is>
          <t>BESS PCS / MV skid</t>
        </is>
      </c>
      <c r="I4022" s="12" t="inlineStr">
        <is>
          <t>Instrumentation</t>
        </is>
      </c>
      <c r="J4022" s="12" t="inlineStr">
        <is>
          <t>Instrumentation PLTC / TC-ER 300 V, #18 twisted shielded pairs, overall shield</t>
        </is>
      </c>
      <c r="K4022" s="12" t="inlineStr">
        <is>
          <t>PLTC|24 pr|18</t>
        </is>
      </c>
      <c r="L4022" s="12" t="inlineStr">
        <is>
          <t>24 pr</t>
        </is>
      </c>
      <c r="M4022" s="12" t="inlineStr">
        <is>
          <t>18</t>
        </is>
      </c>
      <c r="N4022" s="12" t="n">
        <v>1</v>
      </c>
      <c r="O4022" s="12" t="n">
        <v>1</v>
      </c>
      <c r="P4022" s="12" t="n"/>
      <c r="Q4022" s="12" t="n"/>
      <c r="R4022" s="12" t="n"/>
      <c r="S4022" s="12" t="inlineStr">
        <is>
          <t>Duct bank</t>
        </is>
      </c>
      <c r="T4022" s="15" t="n">
        <v>602</v>
      </c>
      <c r="U4022" s="15" t="n">
        <v>91</v>
      </c>
      <c r="V4022" s="15">
        <f>ROUNDUP((T4022+U4022+2*'Read Me'!$B$13)*(1+'Read Me'!$B$12),-1)</f>
        <v/>
      </c>
      <c r="W4022" s="15">
        <f>V4022*N4022*O4022</f>
        <v/>
      </c>
      <c r="X4022" s="12">
        <f>IF(LEFT(I4022,2)="MV",2*N4022*IF(L4022="1/C",O4022,1),0)</f>
        <v/>
      </c>
      <c r="Y4022" s="12">
        <f>IF(OR(LEFT(K4022,4)="LVAX",LEFT(K4022,6)="MV15AX",LEFT(K4022,4)="CTAX",LEFT(K4022,2)="W|"),2*N4022*O4022,0)</f>
        <v/>
      </c>
      <c r="Z4022" s="12" t="inlineStr"/>
      <c r="AA4022" s="12">
        <f>N4022*O4022</f>
        <v/>
      </c>
    </row>
    <row r="4023">
      <c r="A4023" s="12" t="inlineStr">
        <is>
          <t>H-I-0039</t>
        </is>
      </c>
      <c r="B4023" s="12" t="inlineStr">
        <is>
          <t>H</t>
        </is>
      </c>
      <c r="C4023" s="12" t="inlineStr">
        <is>
          <t>BESS</t>
        </is>
      </c>
      <c r="D4023" s="12" t="inlineStr">
        <is>
          <t>Discrete device to JB JB-BESS PCS / MV skid-DI01: 10 x 1 pr (field cables)</t>
        </is>
      </c>
      <c r="E4023" s="12" t="inlineStr"/>
      <c r="F4023" s="12" t="inlineStr">
        <is>
          <t>BESS PCS / MV skid</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PLTC|1 pr|16</t>
        </is>
      </c>
      <c r="L4023" s="12" t="inlineStr">
        <is>
          <t>1 pr</t>
        </is>
      </c>
      <c r="M4023" s="12" t="inlineStr">
        <is>
          <t>16</t>
        </is>
      </c>
      <c r="N4023" s="12" t="n">
        <v>10</v>
      </c>
      <c r="O4023" s="12" t="n">
        <v>1</v>
      </c>
      <c r="P4023" s="12" t="n"/>
      <c r="Q4023" s="12" t="n"/>
      <c r="R4023" s="12" t="n"/>
      <c r="S4023" s="12" t="inlineStr">
        <is>
          <t>Tray / conduit</t>
        </is>
      </c>
      <c r="T4023" s="15" t="n">
        <v>43</v>
      </c>
      <c r="U4023" s="15" t="n">
        <v>10</v>
      </c>
      <c r="V4023" s="15">
        <f>ROUNDUP((T4023+U4023+2*'Read Me'!$B$13)*(1+'Read Me'!$B$12),-1)</f>
        <v/>
      </c>
      <c r="W4023" s="15">
        <f>V4023*N4023*O4023</f>
        <v/>
      </c>
      <c r="X4023" s="12">
        <f>IF(LEFT(I4023,2)="MV",2*N4023*IF(L4023="1/C",O4023,1),0)</f>
        <v/>
      </c>
      <c r="Y4023" s="12">
        <f>IF(OR(LEFT(K4023,4)="LVAX",LEFT(K4023,6)="MV15AX",LEFT(K4023,4)="CTAX",LEFT(K4023,2)="W|"),2*N4023*O4023,0)</f>
        <v/>
      </c>
      <c r="Z4023" s="12" t="inlineStr">
        <is>
          <t>device-to-JB field wiring, one cable per device</t>
        </is>
      </c>
      <c r="AA4023" s="12">
        <f>N4023*O4023</f>
        <v/>
      </c>
    </row>
    <row r="4024">
      <c r="A4024" s="12" t="inlineStr">
        <is>
          <t>H-I-0040</t>
        </is>
      </c>
      <c r="B4024" s="12" t="inlineStr">
        <is>
          <t>H</t>
        </is>
      </c>
      <c r="C4024" s="12" t="inlineStr">
        <is>
          <t>BESS</t>
        </is>
      </c>
      <c r="D4024" s="12" t="inlineStr">
        <is>
          <t>Home run JB-BESS PCS / MV skid-DI01 to the control / marshalling room</t>
        </is>
      </c>
      <c r="E4024" s="12" t="inlineStr"/>
      <c r="F4024" s="12" t="inlineStr">
        <is>
          <t>BESS EMS / SCADA and revenue metering</t>
        </is>
      </c>
      <c r="G4024" s="12" t="inlineStr">
        <is>
          <t>JB-BESS PCS / MV skid-DI01</t>
        </is>
      </c>
      <c r="H4024" s="12" t="inlineStr">
        <is>
          <t>BESS PCS / MV skid</t>
        </is>
      </c>
      <c r="I4024" s="12" t="inlineStr">
        <is>
          <t>Instrumentation</t>
        </is>
      </c>
      <c r="J4024" s="12" t="inlineStr">
        <is>
          <t>Instrumentation PLTC / TC-ER 300 V, #18 twisted shielded pairs, overall shield</t>
        </is>
      </c>
      <c r="K4024" s="12" t="inlineStr">
        <is>
          <t>PLTC|24 pr|18</t>
        </is>
      </c>
      <c r="L4024" s="12" t="inlineStr">
        <is>
          <t>24 pr</t>
        </is>
      </c>
      <c r="M4024" s="12" t="inlineStr">
        <is>
          <t>18</t>
        </is>
      </c>
      <c r="N4024" s="12" t="n">
        <v>1</v>
      </c>
      <c r="O4024" s="12" t="n">
        <v>1</v>
      </c>
      <c r="P4024" s="12" t="n"/>
      <c r="Q4024" s="12" t="n"/>
      <c r="R4024" s="12" t="n"/>
      <c r="S4024" s="12" t="inlineStr">
        <is>
          <t>Duct bank</t>
        </is>
      </c>
      <c r="T4024" s="15" t="n">
        <v>602</v>
      </c>
      <c r="U4024" s="15" t="n">
        <v>91</v>
      </c>
      <c r="V4024" s="15">
        <f>ROUNDUP((T4024+U4024+2*'Read Me'!$B$13)*(1+'Read Me'!$B$12),-1)</f>
        <v/>
      </c>
      <c r="W4024" s="15">
        <f>V4024*N4024*O4024</f>
        <v/>
      </c>
      <c r="X4024" s="12">
        <f>IF(LEFT(I4024,2)="MV",2*N4024*IF(L4024="1/C",O4024,1),0)</f>
        <v/>
      </c>
      <c r="Y4024" s="12">
        <f>IF(OR(LEFT(K4024,4)="LVAX",LEFT(K4024,6)="MV15AX",LEFT(K4024,4)="CTAX",LEFT(K4024,2)="W|"),2*N4024*O4024,0)</f>
        <v/>
      </c>
      <c r="Z4024" s="12" t="inlineStr"/>
      <c r="AA4024" s="12">
        <f>N4024*O4024</f>
        <v/>
      </c>
    </row>
    <row r="4025">
      <c r="A4025" s="12" t="inlineStr">
        <is>
          <t>H-I-0041</t>
        </is>
      </c>
      <c r="B4025" s="12" t="inlineStr">
        <is>
          <t>H</t>
        </is>
      </c>
      <c r="C4025" s="12" t="inlineStr">
        <is>
          <t>BESS</t>
        </is>
      </c>
      <c r="D4025" s="12" t="inlineStr">
        <is>
          <t>Analog instrument to JB JB-BESS PCS / MV skid-AI01: 6 x 1 pr (field cables)</t>
        </is>
      </c>
      <c r="E4025" s="12" t="inlineStr"/>
      <c r="F4025" s="12" t="inlineStr">
        <is>
          <t>BESS PCS / MV skid</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PLTC|1 pr|16</t>
        </is>
      </c>
      <c r="L4025" s="12" t="inlineStr">
        <is>
          <t>1 pr</t>
        </is>
      </c>
      <c r="M4025" s="12" t="inlineStr">
        <is>
          <t>16</t>
        </is>
      </c>
      <c r="N4025" s="12" t="n">
        <v>6</v>
      </c>
      <c r="O4025" s="12" t="n">
        <v>1</v>
      </c>
      <c r="P4025" s="12" t="n"/>
      <c r="Q4025" s="12" t="n"/>
      <c r="R4025" s="12" t="n"/>
      <c r="S4025" s="12" t="inlineStr">
        <is>
          <t>Tray / conduit</t>
        </is>
      </c>
      <c r="T4025" s="15" t="n">
        <v>43</v>
      </c>
      <c r="U4025" s="15" t="n">
        <v>10</v>
      </c>
      <c r="V4025" s="15">
        <f>ROUNDUP((T4025+U4025+2*'Read Me'!$B$13)*(1+'Read Me'!$B$12),-1)</f>
        <v/>
      </c>
      <c r="W4025" s="15">
        <f>V4025*N4025*O4025</f>
        <v/>
      </c>
      <c r="X4025" s="12">
        <f>IF(LEFT(I4025,2)="MV",2*N4025*IF(L4025="1/C",O4025,1),0)</f>
        <v/>
      </c>
      <c r="Y4025" s="12">
        <f>IF(OR(LEFT(K4025,4)="LVAX",LEFT(K4025,6)="MV15AX",LEFT(K4025,4)="CTAX",LEFT(K4025,2)="W|"),2*N4025*O4025,0)</f>
        <v/>
      </c>
      <c r="Z4025" s="12" t="inlineStr">
        <is>
          <t>device-to-JB field wiring, one cable per device</t>
        </is>
      </c>
      <c r="AA4025" s="12">
        <f>N4025*O4025</f>
        <v/>
      </c>
    </row>
    <row r="4026">
      <c r="A4026" s="12" t="inlineStr">
        <is>
          <t>H-I-0042</t>
        </is>
      </c>
      <c r="B4026" s="12" t="inlineStr">
        <is>
          <t>H</t>
        </is>
      </c>
      <c r="C4026" s="12" t="inlineStr">
        <is>
          <t>BESS</t>
        </is>
      </c>
      <c r="D4026" s="12" t="inlineStr">
        <is>
          <t>Home run JB-BESS PCS / MV skid-AI01 to the control / marshalling room</t>
        </is>
      </c>
      <c r="E4026" s="12" t="inlineStr"/>
      <c r="F4026" s="12" t="inlineStr">
        <is>
          <t>BESS EMS / SCADA and revenue metering</t>
        </is>
      </c>
      <c r="G4026" s="12" t="inlineStr">
        <is>
          <t>JB-BESS PCS / MV skid-AI01</t>
        </is>
      </c>
      <c r="H4026" s="12" t="inlineStr">
        <is>
          <t>BESS PCS / MV skid</t>
        </is>
      </c>
      <c r="I4026" s="12" t="inlineStr">
        <is>
          <t>Instrumentation</t>
        </is>
      </c>
      <c r="J4026" s="12" t="inlineStr">
        <is>
          <t>Instrumentation PLTC / TC-ER 300 V, #18 twisted shielded pairs, overall shield</t>
        </is>
      </c>
      <c r="K4026" s="12" t="inlineStr">
        <is>
          <t>PLTC|24 pr|18</t>
        </is>
      </c>
      <c r="L4026" s="12" t="inlineStr">
        <is>
          <t>24 pr</t>
        </is>
      </c>
      <c r="M4026" s="12" t="inlineStr">
        <is>
          <t>18</t>
        </is>
      </c>
      <c r="N4026" s="12" t="n">
        <v>1</v>
      </c>
      <c r="O4026" s="12" t="n">
        <v>1</v>
      </c>
      <c r="P4026" s="12" t="n"/>
      <c r="Q4026" s="12" t="n"/>
      <c r="R4026" s="12" t="n"/>
      <c r="S4026" s="12" t="inlineStr">
        <is>
          <t>Duct bank</t>
        </is>
      </c>
      <c r="T4026" s="15" t="n">
        <v>336</v>
      </c>
      <c r="U4026" s="15" t="n">
        <v>211</v>
      </c>
      <c r="V4026" s="15">
        <f>ROUNDUP((T4026+U4026+2*'Read Me'!$B$13)*(1+'Read Me'!$B$12),-1)</f>
        <v/>
      </c>
      <c r="W4026" s="15">
        <f>V4026*N4026*O4026</f>
        <v/>
      </c>
      <c r="X4026" s="12">
        <f>IF(LEFT(I4026,2)="MV",2*N4026*IF(L4026="1/C",O4026,1),0)</f>
        <v/>
      </c>
      <c r="Y4026" s="12">
        <f>IF(OR(LEFT(K4026,4)="LVAX",LEFT(K4026,6)="MV15AX",LEFT(K4026,4)="CTAX",LEFT(K4026,2)="W|"),2*N4026*O4026,0)</f>
        <v/>
      </c>
      <c r="Z4026" s="12" t="inlineStr"/>
      <c r="AA4026" s="12">
        <f>N4026*O4026</f>
        <v/>
      </c>
    </row>
    <row r="4027">
      <c r="A4027" s="12" t="inlineStr">
        <is>
          <t>H-I-0043</t>
        </is>
      </c>
      <c r="B4027" s="12" t="inlineStr">
        <is>
          <t>H</t>
        </is>
      </c>
      <c r="C4027" s="12" t="inlineStr">
        <is>
          <t>BESS</t>
        </is>
      </c>
      <c r="D4027" s="12" t="inlineStr">
        <is>
          <t>Discrete device to JB JB-BESS PCS / MV skid-DI01: 10 x 1 pr (field cables)</t>
        </is>
      </c>
      <c r="E4027" s="12" t="inlineStr"/>
      <c r="F4027" s="12" t="inlineStr">
        <is>
          <t>BESS PCS / MV skid</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PLTC|1 pr|16</t>
        </is>
      </c>
      <c r="L4027" s="12" t="inlineStr">
        <is>
          <t>1 pr</t>
        </is>
      </c>
      <c r="M4027" s="12" t="inlineStr">
        <is>
          <t>16</t>
        </is>
      </c>
      <c r="N4027" s="12" t="n">
        <v>10</v>
      </c>
      <c r="O4027" s="12" t="n">
        <v>1</v>
      </c>
      <c r="P4027" s="12" t="n"/>
      <c r="Q4027" s="12" t="n"/>
      <c r="R4027" s="12" t="n"/>
      <c r="S4027" s="12" t="inlineStr">
        <is>
          <t>Tray / conduit</t>
        </is>
      </c>
      <c r="T4027" s="15" t="n">
        <v>43</v>
      </c>
      <c r="U4027" s="15" t="n">
        <v>10</v>
      </c>
      <c r="V4027" s="15">
        <f>ROUNDUP((T4027+U4027+2*'Read Me'!$B$13)*(1+'Read Me'!$B$12),-1)</f>
        <v/>
      </c>
      <c r="W4027" s="15">
        <f>V4027*N4027*O4027</f>
        <v/>
      </c>
      <c r="X4027" s="12">
        <f>IF(LEFT(I4027,2)="MV",2*N4027*IF(L4027="1/C",O4027,1),0)</f>
        <v/>
      </c>
      <c r="Y4027" s="12">
        <f>IF(OR(LEFT(K4027,4)="LVAX",LEFT(K4027,6)="MV15AX",LEFT(K4027,4)="CTAX",LEFT(K4027,2)="W|"),2*N4027*O4027,0)</f>
        <v/>
      </c>
      <c r="Z4027" s="12" t="inlineStr">
        <is>
          <t>device-to-JB field wiring, one cable per device</t>
        </is>
      </c>
      <c r="AA4027" s="12">
        <f>N4027*O4027</f>
        <v/>
      </c>
    </row>
    <row r="4028">
      <c r="A4028" s="12" t="inlineStr">
        <is>
          <t>H-I-0044</t>
        </is>
      </c>
      <c r="B4028" s="12" t="inlineStr">
        <is>
          <t>H</t>
        </is>
      </c>
      <c r="C4028" s="12" t="inlineStr">
        <is>
          <t>BESS</t>
        </is>
      </c>
      <c r="D4028" s="12" t="inlineStr">
        <is>
          <t>Home run JB-BESS PCS / MV skid-DI01 to the control / marshalling room</t>
        </is>
      </c>
      <c r="E4028" s="12" t="inlineStr"/>
      <c r="F4028" s="12" t="inlineStr">
        <is>
          <t>BESS EMS / SCADA and revenue metering</t>
        </is>
      </c>
      <c r="G4028" s="12" t="inlineStr">
        <is>
          <t>JB-BESS PCS / MV skid-DI01</t>
        </is>
      </c>
      <c r="H4028" s="12" t="inlineStr">
        <is>
          <t>BESS PCS / MV skid</t>
        </is>
      </c>
      <c r="I4028" s="12" t="inlineStr">
        <is>
          <t>Instrumentation</t>
        </is>
      </c>
      <c r="J4028" s="12" t="inlineStr">
        <is>
          <t>Instrumentation PLTC / TC-ER 300 V, #18 twisted shielded pairs, overall shield</t>
        </is>
      </c>
      <c r="K4028" s="12" t="inlineStr">
        <is>
          <t>PLTC|24 pr|18</t>
        </is>
      </c>
      <c r="L4028" s="12" t="inlineStr">
        <is>
          <t>24 pr</t>
        </is>
      </c>
      <c r="M4028" s="12" t="inlineStr">
        <is>
          <t>18</t>
        </is>
      </c>
      <c r="N4028" s="12" t="n">
        <v>1</v>
      </c>
      <c r="O4028" s="12" t="n">
        <v>1</v>
      </c>
      <c r="P4028" s="12" t="n"/>
      <c r="Q4028" s="12" t="n"/>
      <c r="R4028" s="12" t="n"/>
      <c r="S4028" s="12" t="inlineStr">
        <is>
          <t>Duct bank</t>
        </is>
      </c>
      <c r="T4028" s="15" t="n">
        <v>336</v>
      </c>
      <c r="U4028" s="15" t="n">
        <v>211</v>
      </c>
      <c r="V4028" s="15">
        <f>ROUNDUP((T4028+U4028+2*'Read Me'!$B$13)*(1+'Read Me'!$B$12),-1)</f>
        <v/>
      </c>
      <c r="W4028" s="15">
        <f>V4028*N4028*O4028</f>
        <v/>
      </c>
      <c r="X4028" s="12">
        <f>IF(LEFT(I4028,2)="MV",2*N4028*IF(L4028="1/C",O4028,1),0)</f>
        <v/>
      </c>
      <c r="Y4028" s="12">
        <f>IF(OR(LEFT(K4028,4)="LVAX",LEFT(K4028,6)="MV15AX",LEFT(K4028,4)="CTAX",LEFT(K4028,2)="W|"),2*N4028*O4028,0)</f>
        <v/>
      </c>
      <c r="Z4028" s="12" t="inlineStr"/>
      <c r="AA4028" s="12">
        <f>N4028*O4028</f>
        <v/>
      </c>
    </row>
    <row r="4029">
      <c r="A4029" s="12" t="inlineStr">
        <is>
          <t>H-I-0045</t>
        </is>
      </c>
      <c r="B4029" s="12" t="inlineStr">
        <is>
          <t>H</t>
        </is>
      </c>
      <c r="C4029" s="12" t="inlineStr">
        <is>
          <t>BESS</t>
        </is>
      </c>
      <c r="D4029" s="12" t="inlineStr">
        <is>
          <t>Analog instrument to JB JB-BESS PCS / MV skid-AI01: 6 x 1 pr (field cables)</t>
        </is>
      </c>
      <c r="E4029" s="12" t="inlineStr"/>
      <c r="F4029" s="12" t="inlineStr">
        <is>
          <t>BESS PCS / MV skid</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PLTC|1 pr|16</t>
        </is>
      </c>
      <c r="L4029" s="12" t="inlineStr">
        <is>
          <t>1 pr</t>
        </is>
      </c>
      <c r="M4029" s="12" t="inlineStr">
        <is>
          <t>16</t>
        </is>
      </c>
      <c r="N4029" s="12" t="n">
        <v>6</v>
      </c>
      <c r="O4029" s="12" t="n">
        <v>1</v>
      </c>
      <c r="P4029" s="12" t="n"/>
      <c r="Q4029" s="12" t="n"/>
      <c r="R4029" s="12" t="n"/>
      <c r="S4029" s="12" t="inlineStr">
        <is>
          <t>Tray / conduit</t>
        </is>
      </c>
      <c r="T4029" s="15" t="n">
        <v>43</v>
      </c>
      <c r="U4029" s="15" t="n">
        <v>10</v>
      </c>
      <c r="V4029" s="15">
        <f>ROUNDUP((T4029+U4029+2*'Read Me'!$B$13)*(1+'Read Me'!$B$12),-1)</f>
        <v/>
      </c>
      <c r="W4029" s="15">
        <f>V4029*N4029*O4029</f>
        <v/>
      </c>
      <c r="X4029" s="12">
        <f>IF(LEFT(I4029,2)="MV",2*N4029*IF(L4029="1/C",O4029,1),0)</f>
        <v/>
      </c>
      <c r="Y4029" s="12">
        <f>IF(OR(LEFT(K4029,4)="LVAX",LEFT(K4029,6)="MV15AX",LEFT(K4029,4)="CTAX",LEFT(K4029,2)="W|"),2*N4029*O4029,0)</f>
        <v/>
      </c>
      <c r="Z4029" s="12" t="inlineStr">
        <is>
          <t>device-to-JB field wiring, one cable per device</t>
        </is>
      </c>
      <c r="AA4029" s="12">
        <f>N4029*O4029</f>
        <v/>
      </c>
    </row>
    <row r="4030">
      <c r="A4030" s="12" t="inlineStr">
        <is>
          <t>H-I-0046</t>
        </is>
      </c>
      <c r="B4030" s="12" t="inlineStr">
        <is>
          <t>H</t>
        </is>
      </c>
      <c r="C4030" s="12" t="inlineStr">
        <is>
          <t>BESS</t>
        </is>
      </c>
      <c r="D4030" s="12" t="inlineStr">
        <is>
          <t>Home run JB-BESS PCS / MV skid-AI01 to the control / marshalling room</t>
        </is>
      </c>
      <c r="E4030" s="12" t="inlineStr"/>
      <c r="F4030" s="12" t="inlineStr">
        <is>
          <t>BESS EMS / SCADA and revenue metering</t>
        </is>
      </c>
      <c r="G4030" s="12" t="inlineStr">
        <is>
          <t>JB-BESS PCS / MV skid-AI01</t>
        </is>
      </c>
      <c r="H4030" s="12" t="inlineStr">
        <is>
          <t>BESS PCS / MV skid</t>
        </is>
      </c>
      <c r="I4030" s="12" t="inlineStr">
        <is>
          <t>Instrumentation</t>
        </is>
      </c>
      <c r="J4030" s="12" t="inlineStr">
        <is>
          <t>Instrumentation PLTC / TC-ER 300 V, #18 twisted shielded pairs, overall shield</t>
        </is>
      </c>
      <c r="K4030" s="12" t="inlineStr">
        <is>
          <t>PLTC|24 pr|18</t>
        </is>
      </c>
      <c r="L4030" s="12" t="inlineStr">
        <is>
          <t>24 pr</t>
        </is>
      </c>
      <c r="M4030" s="12" t="inlineStr">
        <is>
          <t>18</t>
        </is>
      </c>
      <c r="N4030" s="12" t="n">
        <v>1</v>
      </c>
      <c r="O4030" s="12" t="n">
        <v>1</v>
      </c>
      <c r="P4030" s="12" t="n"/>
      <c r="Q4030" s="12" t="n"/>
      <c r="R4030" s="12" t="n"/>
      <c r="S4030" s="12" t="inlineStr">
        <is>
          <t>Duct bank</t>
        </is>
      </c>
      <c r="T4030" s="15" t="n">
        <v>336</v>
      </c>
      <c r="U4030" s="15" t="n">
        <v>91</v>
      </c>
      <c r="V4030" s="15">
        <f>ROUNDUP((T4030+U4030+2*'Read Me'!$B$13)*(1+'Read Me'!$B$12),-1)</f>
        <v/>
      </c>
      <c r="W4030" s="15">
        <f>V4030*N4030*O4030</f>
        <v/>
      </c>
      <c r="X4030" s="12">
        <f>IF(LEFT(I4030,2)="MV",2*N4030*IF(L4030="1/C",O4030,1),0)</f>
        <v/>
      </c>
      <c r="Y4030" s="12">
        <f>IF(OR(LEFT(K4030,4)="LVAX",LEFT(K4030,6)="MV15AX",LEFT(K4030,4)="CTAX",LEFT(K4030,2)="W|"),2*N4030*O4030,0)</f>
        <v/>
      </c>
      <c r="Z4030" s="12" t="inlineStr"/>
      <c r="AA4030" s="12">
        <f>N4030*O4030</f>
        <v/>
      </c>
    </row>
    <row r="4031">
      <c r="A4031" s="12" t="inlineStr">
        <is>
          <t>H-I-0047</t>
        </is>
      </c>
      <c r="B4031" s="12" t="inlineStr">
        <is>
          <t>H</t>
        </is>
      </c>
      <c r="C4031" s="12" t="inlineStr">
        <is>
          <t>BESS</t>
        </is>
      </c>
      <c r="D4031" s="12" t="inlineStr">
        <is>
          <t>Discrete device to JB JB-BESS PCS / MV skid-DI01: 10 x 1 pr (field cables)</t>
        </is>
      </c>
      <c r="E4031" s="12" t="inlineStr"/>
      <c r="F4031" s="12" t="inlineStr">
        <is>
          <t>BESS PCS / MV skid</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PLTC|1 pr|16</t>
        </is>
      </c>
      <c r="L4031" s="12" t="inlineStr">
        <is>
          <t>1 pr</t>
        </is>
      </c>
      <c r="M4031" s="12" t="inlineStr">
        <is>
          <t>16</t>
        </is>
      </c>
      <c r="N4031" s="12" t="n">
        <v>10</v>
      </c>
      <c r="O4031" s="12" t="n">
        <v>1</v>
      </c>
      <c r="P4031" s="12" t="n"/>
      <c r="Q4031" s="12" t="n"/>
      <c r="R4031" s="12" t="n"/>
      <c r="S4031" s="12" t="inlineStr">
        <is>
          <t>Tray / conduit</t>
        </is>
      </c>
      <c r="T4031" s="15" t="n">
        <v>43</v>
      </c>
      <c r="U4031" s="15" t="n">
        <v>10</v>
      </c>
      <c r="V4031" s="15">
        <f>ROUNDUP((T4031+U4031+2*'Read Me'!$B$13)*(1+'Read Me'!$B$12),-1)</f>
        <v/>
      </c>
      <c r="W4031" s="15">
        <f>V4031*N4031*O4031</f>
        <v/>
      </c>
      <c r="X4031" s="12">
        <f>IF(LEFT(I4031,2)="MV",2*N4031*IF(L4031="1/C",O4031,1),0)</f>
        <v/>
      </c>
      <c r="Y4031" s="12">
        <f>IF(OR(LEFT(K4031,4)="LVAX",LEFT(K4031,6)="MV15AX",LEFT(K4031,4)="CTAX",LEFT(K4031,2)="W|"),2*N4031*O4031,0)</f>
        <v/>
      </c>
      <c r="Z4031" s="12" t="inlineStr">
        <is>
          <t>device-to-JB field wiring, one cable per device</t>
        </is>
      </c>
      <c r="AA4031" s="12">
        <f>N4031*O4031</f>
        <v/>
      </c>
    </row>
    <row r="4032">
      <c r="A4032" s="12" t="inlineStr">
        <is>
          <t>H-I-0048</t>
        </is>
      </c>
      <c r="B4032" s="12" t="inlineStr">
        <is>
          <t>H</t>
        </is>
      </c>
      <c r="C4032" s="12" t="inlineStr">
        <is>
          <t>BESS</t>
        </is>
      </c>
      <c r="D4032" s="12" t="inlineStr">
        <is>
          <t>Home run JB-BESS PCS / MV skid-DI01 to the control / marshalling room</t>
        </is>
      </c>
      <c r="E4032" s="12" t="inlineStr"/>
      <c r="F4032" s="12" t="inlineStr">
        <is>
          <t>BESS EMS / SCADA and revenue metering</t>
        </is>
      </c>
      <c r="G4032" s="12" t="inlineStr">
        <is>
          <t>JB-BESS PCS / MV skid-DI01</t>
        </is>
      </c>
      <c r="H4032" s="12" t="inlineStr">
        <is>
          <t>BESS PCS / MV skid</t>
        </is>
      </c>
      <c r="I4032" s="12" t="inlineStr">
        <is>
          <t>Instrumentation</t>
        </is>
      </c>
      <c r="J4032" s="12" t="inlineStr">
        <is>
          <t>Instrumentation PLTC / TC-ER 300 V, #18 twisted shielded pairs, overall shield</t>
        </is>
      </c>
      <c r="K4032" s="12" t="inlineStr">
        <is>
          <t>PLTC|24 pr|18</t>
        </is>
      </c>
      <c r="L4032" s="12" t="inlineStr">
        <is>
          <t>24 pr</t>
        </is>
      </c>
      <c r="M4032" s="12" t="inlineStr">
        <is>
          <t>18</t>
        </is>
      </c>
      <c r="N4032" s="12" t="n">
        <v>1</v>
      </c>
      <c r="O4032" s="12" t="n">
        <v>1</v>
      </c>
      <c r="P4032" s="12" t="n"/>
      <c r="Q4032" s="12" t="n"/>
      <c r="R4032" s="12" t="n"/>
      <c r="S4032" s="12" t="inlineStr">
        <is>
          <t>Duct bank</t>
        </is>
      </c>
      <c r="T4032" s="15" t="n">
        <v>336</v>
      </c>
      <c r="U4032" s="15" t="n">
        <v>91</v>
      </c>
      <c r="V4032" s="15">
        <f>ROUNDUP((T4032+U4032+2*'Read Me'!$B$13)*(1+'Read Me'!$B$12),-1)</f>
        <v/>
      </c>
      <c r="W4032" s="15">
        <f>V4032*N4032*O4032</f>
        <v/>
      </c>
      <c r="X4032" s="12">
        <f>IF(LEFT(I4032,2)="MV",2*N4032*IF(L4032="1/C",O4032,1),0)</f>
        <v/>
      </c>
      <c r="Y4032" s="12">
        <f>IF(OR(LEFT(K4032,4)="LVAX",LEFT(K4032,6)="MV15AX",LEFT(K4032,4)="CTAX",LEFT(K4032,2)="W|"),2*N4032*O4032,0)</f>
        <v/>
      </c>
      <c r="Z4032" s="12" t="inlineStr"/>
      <c r="AA4032" s="12">
        <f>N4032*O4032</f>
        <v/>
      </c>
    </row>
    <row r="4033">
      <c r="A4033" s="12" t="inlineStr">
        <is>
          <t>H-I-0049</t>
        </is>
      </c>
      <c r="B4033" s="12" t="inlineStr">
        <is>
          <t>H</t>
        </is>
      </c>
      <c r="C4033" s="12" t="inlineStr">
        <is>
          <t>BESS</t>
        </is>
      </c>
      <c r="D4033" s="12" t="inlineStr">
        <is>
          <t>Analog instrument to JB JB-BESS PCS / MV skid-AI01: 6 x 1 pr (field cables)</t>
        </is>
      </c>
      <c r="E4033" s="12" t="inlineStr"/>
      <c r="F4033" s="12" t="inlineStr">
        <is>
          <t>BESS PCS / MV skid</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PLTC|1 pr|16</t>
        </is>
      </c>
      <c r="L4033" s="12" t="inlineStr">
        <is>
          <t>1 pr</t>
        </is>
      </c>
      <c r="M4033" s="12" t="inlineStr">
        <is>
          <t>16</t>
        </is>
      </c>
      <c r="N4033" s="12" t="n">
        <v>6</v>
      </c>
      <c r="O4033" s="12" t="n">
        <v>1</v>
      </c>
      <c r="P4033" s="12" t="n"/>
      <c r="Q4033" s="12" t="n"/>
      <c r="R4033" s="12" t="n"/>
      <c r="S4033" s="12" t="inlineStr">
        <is>
          <t>Tray / conduit</t>
        </is>
      </c>
      <c r="T4033" s="15" t="n">
        <v>43</v>
      </c>
      <c r="U4033" s="15" t="n">
        <v>10</v>
      </c>
      <c r="V4033" s="15">
        <f>ROUNDUP((T4033+U4033+2*'Read Me'!$B$13)*(1+'Read Me'!$B$12),-1)</f>
        <v/>
      </c>
      <c r="W4033" s="15">
        <f>V4033*N4033*O4033</f>
        <v/>
      </c>
      <c r="X4033" s="12">
        <f>IF(LEFT(I4033,2)="MV",2*N4033*IF(L4033="1/C",O4033,1),0)</f>
        <v/>
      </c>
      <c r="Y4033" s="12">
        <f>IF(OR(LEFT(K4033,4)="LVAX",LEFT(K4033,6)="MV15AX",LEFT(K4033,4)="CTAX",LEFT(K4033,2)="W|"),2*N4033*O4033,0)</f>
        <v/>
      </c>
      <c r="Z4033" s="12" t="inlineStr">
        <is>
          <t>device-to-JB field wiring, one cable per device</t>
        </is>
      </c>
      <c r="AA4033" s="12">
        <f>N4033*O4033</f>
        <v/>
      </c>
    </row>
    <row r="4034">
      <c r="A4034" s="12" t="inlineStr">
        <is>
          <t>H-I-0050</t>
        </is>
      </c>
      <c r="B4034" s="12" t="inlineStr">
        <is>
          <t>H</t>
        </is>
      </c>
      <c r="C4034" s="12" t="inlineStr">
        <is>
          <t>BESS</t>
        </is>
      </c>
      <c r="D4034" s="12" t="inlineStr">
        <is>
          <t>Home run JB-BESS PCS / MV skid-AI01 to the control / marshalling room</t>
        </is>
      </c>
      <c r="E4034" s="12" t="inlineStr"/>
      <c r="F4034" s="12" t="inlineStr">
        <is>
          <t>BESS EMS / SCADA and revenue metering</t>
        </is>
      </c>
      <c r="G4034" s="12" t="inlineStr">
        <is>
          <t>JB-BESS PCS / MV skid-AI01</t>
        </is>
      </c>
      <c r="H4034" s="12" t="inlineStr">
        <is>
          <t>BESS PCS / MV skid</t>
        </is>
      </c>
      <c r="I4034" s="12" t="inlineStr">
        <is>
          <t>Instrumentation</t>
        </is>
      </c>
      <c r="J4034" s="12" t="inlineStr">
        <is>
          <t>Instrumentation PLTC / TC-ER 300 V, #18 twisted shielded pairs, overall shield</t>
        </is>
      </c>
      <c r="K4034" s="12" t="inlineStr">
        <is>
          <t>PLTC|24 pr|18</t>
        </is>
      </c>
      <c r="L4034" s="12" t="inlineStr">
        <is>
          <t>24 pr</t>
        </is>
      </c>
      <c r="M4034" s="12" t="inlineStr">
        <is>
          <t>18</t>
        </is>
      </c>
      <c r="N4034" s="12" t="n">
        <v>1</v>
      </c>
      <c r="O4034" s="12" t="n">
        <v>1</v>
      </c>
      <c r="P4034" s="12" t="n"/>
      <c r="Q4034" s="12" t="n"/>
      <c r="R4034" s="12" t="n"/>
      <c r="S4034" s="12" t="inlineStr">
        <is>
          <t>Duct bank</t>
        </is>
      </c>
      <c r="T4034" s="15" t="n">
        <v>602</v>
      </c>
      <c r="U4034" s="15" t="n">
        <v>37</v>
      </c>
      <c r="V4034" s="15">
        <f>ROUNDUP((T4034+U4034+2*'Read Me'!$B$13)*(1+'Read Me'!$B$12),-1)</f>
        <v/>
      </c>
      <c r="W4034" s="15">
        <f>V4034*N4034*O4034</f>
        <v/>
      </c>
      <c r="X4034" s="12">
        <f>IF(LEFT(I4034,2)="MV",2*N4034*IF(L4034="1/C",O4034,1),0)</f>
        <v/>
      </c>
      <c r="Y4034" s="12">
        <f>IF(OR(LEFT(K4034,4)="LVAX",LEFT(K4034,6)="MV15AX",LEFT(K4034,4)="CTAX",LEFT(K4034,2)="W|"),2*N4034*O4034,0)</f>
        <v/>
      </c>
      <c r="Z4034" s="12" t="inlineStr"/>
      <c r="AA4034" s="12">
        <f>N4034*O4034</f>
        <v/>
      </c>
    </row>
    <row r="4035">
      <c r="A4035" s="12" t="inlineStr">
        <is>
          <t>H-I-0051</t>
        </is>
      </c>
      <c r="B4035" s="12" t="inlineStr">
        <is>
          <t>H</t>
        </is>
      </c>
      <c r="C4035" s="12" t="inlineStr">
        <is>
          <t>BESS</t>
        </is>
      </c>
      <c r="D4035" s="12" t="inlineStr">
        <is>
          <t>Discrete device to JB JB-BESS PCS / MV skid-DI01: 10 x 1 pr (field cables)</t>
        </is>
      </c>
      <c r="E4035" s="12" t="inlineStr"/>
      <c r="F4035" s="12" t="inlineStr">
        <is>
          <t>BESS PCS / MV skid</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10</v>
      </c>
      <c r="O4035" s="12" t="n">
        <v>1</v>
      </c>
      <c r="P4035" s="12" t="n"/>
      <c r="Q4035" s="12" t="n"/>
      <c r="R4035" s="12" t="n"/>
      <c r="S4035" s="12" t="inlineStr">
        <is>
          <t>Tray / conduit</t>
        </is>
      </c>
      <c r="T4035" s="15" t="n">
        <v>43</v>
      </c>
      <c r="U4035" s="15" t="n">
        <v>10</v>
      </c>
      <c r="V4035" s="15">
        <f>ROUNDUP((T4035+U4035+2*'Read Me'!$B$13)*(1+'Read Me'!$B$12),-1)</f>
        <v/>
      </c>
      <c r="W4035" s="15">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H-I-0052</t>
        </is>
      </c>
      <c r="B4036" s="12" t="inlineStr">
        <is>
          <t>H</t>
        </is>
      </c>
      <c r="C4036" s="12" t="inlineStr">
        <is>
          <t>BESS</t>
        </is>
      </c>
      <c r="D4036" s="12" t="inlineStr">
        <is>
          <t>Home run JB-BESS PCS / MV skid-DI01 to the control / marshalling room</t>
        </is>
      </c>
      <c r="E4036" s="12" t="inlineStr"/>
      <c r="F4036" s="12" t="inlineStr">
        <is>
          <t>BESS EMS / SCADA and revenue metering</t>
        </is>
      </c>
      <c r="G4036" s="12" t="inlineStr">
        <is>
          <t>JB-BESS PCS / MV skid-DI01</t>
        </is>
      </c>
      <c r="H4036" s="12" t="inlineStr">
        <is>
          <t>BESS PCS / MV skid</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5" t="n">
        <v>602</v>
      </c>
      <c r="U4036" s="15" t="n">
        <v>37</v>
      </c>
      <c r="V4036" s="15">
        <f>ROUNDUP((T4036+U4036+2*'Read Me'!$B$13)*(1+'Read Me'!$B$12),-1)</f>
        <v/>
      </c>
      <c r="W4036" s="15">
        <f>V4036*N4036*O4036</f>
        <v/>
      </c>
      <c r="X4036" s="12">
        <f>IF(LEFT(I4036,2)="MV",2*N4036*IF(L4036="1/C",O4036,1),0)</f>
        <v/>
      </c>
      <c r="Y4036" s="12">
        <f>IF(OR(LEFT(K4036,4)="LVAX",LEFT(K4036,6)="MV15AX",LEFT(K4036,4)="CTAX",LEFT(K4036,2)="W|"),2*N4036*O4036,0)</f>
        <v/>
      </c>
      <c r="Z4036" s="12" t="inlineStr"/>
      <c r="AA4036" s="12">
        <f>N4036*O4036</f>
        <v/>
      </c>
    </row>
    <row r="4037">
      <c r="A4037" s="12" t="inlineStr">
        <is>
          <t>H-I-0053</t>
        </is>
      </c>
      <c r="B4037" s="12" t="inlineStr">
        <is>
          <t>H</t>
        </is>
      </c>
      <c r="C4037" s="12" t="inlineStr">
        <is>
          <t>BESS</t>
        </is>
      </c>
      <c r="D4037" s="12" t="inlineStr">
        <is>
          <t>Analog instrument to JB JB-BESS PCS / MV skid-AI01: 6 x 1 pr (field cables)</t>
        </is>
      </c>
      <c r="E4037" s="12" t="inlineStr"/>
      <c r="F4037" s="12" t="inlineStr">
        <is>
          <t>BESS PCS / MV skid</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6</v>
      </c>
      <c r="O4037" s="12" t="n">
        <v>1</v>
      </c>
      <c r="P4037" s="12" t="n"/>
      <c r="Q4037" s="12" t="n"/>
      <c r="R4037" s="12" t="n"/>
      <c r="S4037" s="12" t="inlineStr">
        <is>
          <t>Tray / conduit</t>
        </is>
      </c>
      <c r="T4037" s="15" t="n">
        <v>43</v>
      </c>
      <c r="U4037" s="15" t="n">
        <v>10</v>
      </c>
      <c r="V4037" s="15">
        <f>ROUNDUP((T4037+U4037+2*'Read Me'!$B$13)*(1+'Read Me'!$B$12),-1)</f>
        <v/>
      </c>
      <c r="W4037" s="15">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H-I-0054</t>
        </is>
      </c>
      <c r="B4038" s="12" t="inlineStr">
        <is>
          <t>H</t>
        </is>
      </c>
      <c r="C4038" s="12" t="inlineStr">
        <is>
          <t>BESS</t>
        </is>
      </c>
      <c r="D4038" s="12" t="inlineStr">
        <is>
          <t>Home run JB-BESS PCS / MV skid-AI01 to the control / marshalling room</t>
        </is>
      </c>
      <c r="E4038" s="12" t="inlineStr"/>
      <c r="F4038" s="12" t="inlineStr">
        <is>
          <t>BESS EMS / SCADA and revenue metering</t>
        </is>
      </c>
      <c r="G4038" s="12" t="inlineStr">
        <is>
          <t>JB-BESS PCS / MV skid-AI01</t>
        </is>
      </c>
      <c r="H4038" s="12" t="inlineStr">
        <is>
          <t>BESS PCS / MV skid</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5" t="n">
        <v>336</v>
      </c>
      <c r="U4038" s="15" t="n">
        <v>157</v>
      </c>
      <c r="V4038" s="15">
        <f>ROUNDUP((T4038+U4038+2*'Read Me'!$B$13)*(1+'Read Me'!$B$12),-1)</f>
        <v/>
      </c>
      <c r="W4038" s="15">
        <f>V4038*N4038*O4038</f>
        <v/>
      </c>
      <c r="X4038" s="12">
        <f>IF(LEFT(I4038,2)="MV",2*N4038*IF(L4038="1/C",O4038,1),0)</f>
        <v/>
      </c>
      <c r="Y4038" s="12">
        <f>IF(OR(LEFT(K4038,4)="LVAX",LEFT(K4038,6)="MV15AX",LEFT(K4038,4)="CTAX",LEFT(K4038,2)="W|"),2*N4038*O4038,0)</f>
        <v/>
      </c>
      <c r="Z4038" s="12" t="inlineStr"/>
      <c r="AA4038" s="12">
        <f>N4038*O4038</f>
        <v/>
      </c>
    </row>
    <row r="4039">
      <c r="A4039" s="12" t="inlineStr">
        <is>
          <t>H-I-0055</t>
        </is>
      </c>
      <c r="B4039" s="12" t="inlineStr">
        <is>
          <t>H</t>
        </is>
      </c>
      <c r="C4039" s="12" t="inlineStr">
        <is>
          <t>BESS</t>
        </is>
      </c>
      <c r="D4039" s="12" t="inlineStr">
        <is>
          <t>Discrete device to JB JB-BESS PCS / MV skid-DI01: 10 x 1 pr (field cables)</t>
        </is>
      </c>
      <c r="E4039" s="12" t="inlineStr"/>
      <c r="F4039" s="12" t="inlineStr">
        <is>
          <t>BESS PCS / MV skid</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10</v>
      </c>
      <c r="O4039" s="12" t="n">
        <v>1</v>
      </c>
      <c r="P4039" s="12" t="n"/>
      <c r="Q4039" s="12" t="n"/>
      <c r="R4039" s="12" t="n"/>
      <c r="S4039" s="12" t="inlineStr">
        <is>
          <t>Tray / conduit</t>
        </is>
      </c>
      <c r="T4039" s="15" t="n">
        <v>43</v>
      </c>
      <c r="U4039" s="15" t="n">
        <v>10</v>
      </c>
      <c r="V4039" s="15">
        <f>ROUNDUP((T4039+U4039+2*'Read Me'!$B$13)*(1+'Read Me'!$B$12),-1)</f>
        <v/>
      </c>
      <c r="W4039" s="15">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H-I-0056</t>
        </is>
      </c>
      <c r="B4040" s="12" t="inlineStr">
        <is>
          <t>H</t>
        </is>
      </c>
      <c r="C4040" s="12" t="inlineStr">
        <is>
          <t>BESS</t>
        </is>
      </c>
      <c r="D4040" s="12" t="inlineStr">
        <is>
          <t>Home run JB-BESS PCS / MV skid-DI01 to the control / marshalling room</t>
        </is>
      </c>
      <c r="E4040" s="12" t="inlineStr"/>
      <c r="F4040" s="12" t="inlineStr">
        <is>
          <t>BESS EMS / SCADA and revenue metering</t>
        </is>
      </c>
      <c r="G4040" s="12" t="inlineStr">
        <is>
          <t>JB-BESS PCS / MV skid-DI01</t>
        </is>
      </c>
      <c r="H4040" s="12" t="inlineStr">
        <is>
          <t>BESS PCS / MV skid</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5" t="n">
        <v>336</v>
      </c>
      <c r="U4040" s="15" t="n">
        <v>157</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H-I-0057</t>
        </is>
      </c>
      <c r="B4041" s="12" t="inlineStr">
        <is>
          <t>H</t>
        </is>
      </c>
      <c r="C4041" s="12" t="inlineStr">
        <is>
          <t>BESS</t>
        </is>
      </c>
      <c r="D4041" s="12" t="inlineStr">
        <is>
          <t>Analog instrument to JB JB-BESS PCS / MV skid-AI01: 6 x 1 pr (field cables)</t>
        </is>
      </c>
      <c r="E4041" s="12" t="inlineStr"/>
      <c r="F4041" s="12" t="inlineStr">
        <is>
          <t>BESS PCS / MV skid</t>
        </is>
      </c>
      <c r="G4041" s="12" t="inlineStr">
        <is>
          <t>JB-BESS PCS / MV skid-AI01</t>
        </is>
      </c>
      <c r="H4041" s="12" t="inlineStr">
        <is>
          <t>BESS PCS / MV skid</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6</v>
      </c>
      <c r="O4041" s="12" t="n">
        <v>1</v>
      </c>
      <c r="P4041" s="12" t="n"/>
      <c r="Q4041" s="12" t="n"/>
      <c r="R4041" s="12" t="n"/>
      <c r="S4041" s="12" t="inlineStr">
        <is>
          <t>Tray / conduit</t>
        </is>
      </c>
      <c r="T4041" s="15" t="n">
        <v>43</v>
      </c>
      <c r="U4041" s="15" t="n">
        <v>10</v>
      </c>
      <c r="V4041" s="15">
        <f>ROUNDUP((T4041+U4041+2*'Read Me'!$B$13)*(1+'Read Me'!$B$12),-1)</f>
        <v/>
      </c>
      <c r="W4041" s="15">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H-I-0058</t>
        </is>
      </c>
      <c r="B4042" s="12" t="inlineStr">
        <is>
          <t>H</t>
        </is>
      </c>
      <c r="C4042" s="12" t="inlineStr">
        <is>
          <t>BESS</t>
        </is>
      </c>
      <c r="D4042" s="12" t="inlineStr">
        <is>
          <t>Home run JB-BESS PCS / MV skid-AI01 to the control / marshalling room</t>
        </is>
      </c>
      <c r="E4042" s="12" t="inlineStr"/>
      <c r="F4042" s="12" t="inlineStr">
        <is>
          <t>BESS EMS / SCADA and revenue metering</t>
        </is>
      </c>
      <c r="G4042" s="12" t="inlineStr">
        <is>
          <t>JB-BESS PCS / MV skid-AI01</t>
        </is>
      </c>
      <c r="H4042" s="12" t="inlineStr">
        <is>
          <t>BESS PCS / MV skid</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5" t="n">
        <v>336</v>
      </c>
      <c r="U4042" s="15" t="n">
        <v>37</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H-I-0059</t>
        </is>
      </c>
      <c r="B4043" s="12" t="inlineStr">
        <is>
          <t>H</t>
        </is>
      </c>
      <c r="C4043" s="12" t="inlineStr">
        <is>
          <t>BESS</t>
        </is>
      </c>
      <c r="D4043" s="12" t="inlineStr">
        <is>
          <t>Discrete device to JB JB-BESS PCS / MV skid-DI01: 10 x 1 pr (field cables)</t>
        </is>
      </c>
      <c r="E4043" s="12" t="inlineStr"/>
      <c r="F4043" s="12" t="inlineStr">
        <is>
          <t>BESS PCS / MV skid</t>
        </is>
      </c>
      <c r="G4043" s="12" t="inlineStr">
        <is>
          <t>JB-BESS PCS / MV skid-DI01</t>
        </is>
      </c>
      <c r="H4043" s="12" t="inlineStr">
        <is>
          <t>BESS PCS / MV skid</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10</v>
      </c>
      <c r="O4043" s="12" t="n">
        <v>1</v>
      </c>
      <c r="P4043" s="12" t="n"/>
      <c r="Q4043" s="12" t="n"/>
      <c r="R4043" s="12" t="n"/>
      <c r="S4043" s="12" t="inlineStr">
        <is>
          <t>Tray / conduit</t>
        </is>
      </c>
      <c r="T4043" s="15" t="n">
        <v>43</v>
      </c>
      <c r="U4043" s="15" t="n">
        <v>10</v>
      </c>
      <c r="V4043" s="15">
        <f>ROUNDUP((T4043+U4043+2*'Read Me'!$B$13)*(1+'Read Me'!$B$12),-1)</f>
        <v/>
      </c>
      <c r="W4043" s="15">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H-I-0060</t>
        </is>
      </c>
      <c r="B4044" s="12" t="inlineStr">
        <is>
          <t>H</t>
        </is>
      </c>
      <c r="C4044" s="12" t="inlineStr">
        <is>
          <t>BESS</t>
        </is>
      </c>
      <c r="D4044" s="12" t="inlineStr">
        <is>
          <t>Home run JB-BESS PCS / MV skid-DI01 to the control / marshalling room</t>
        </is>
      </c>
      <c r="E4044" s="12" t="inlineStr"/>
      <c r="F4044" s="12" t="inlineStr">
        <is>
          <t>BESS EMS / SCADA and revenue metering</t>
        </is>
      </c>
      <c r="G4044" s="12" t="inlineStr">
        <is>
          <t>JB-BESS PCS / MV skid-DI01</t>
        </is>
      </c>
      <c r="H4044" s="12" t="inlineStr">
        <is>
          <t>BESS PCS / MV skid</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5" t="n">
        <v>336</v>
      </c>
      <c r="U4044" s="15" t="n">
        <v>37</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H-I-0061</t>
        </is>
      </c>
      <c r="B4045" s="12" t="inlineStr">
        <is>
          <t>H</t>
        </is>
      </c>
      <c r="C4045" s="12" t="inlineStr">
        <is>
          <t>BESS</t>
        </is>
      </c>
      <c r="D4045" s="12" t="inlineStr">
        <is>
          <t>Instrumentation</t>
        </is>
      </c>
      <c r="E4045" s="12" t="inlineStr"/>
      <c r="F4045" s="12" t="inlineStr">
        <is>
          <t>BESS EMS / SCADA and revenue metering</t>
        </is>
      </c>
      <c r="G4045" s="12" t="inlineStr"/>
      <c r="H4045" s="12" t="inlineStr">
        <is>
          <t>BESS auxiliary transformer</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5" t="n">
        <v>38</v>
      </c>
      <c r="U4045" s="15" t="n">
        <v>32</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H-I-0062</t>
        </is>
      </c>
      <c r="B4046" s="12" t="inlineStr">
        <is>
          <t>H</t>
        </is>
      </c>
      <c r="C4046" s="12" t="inlineStr">
        <is>
          <t>BESS</t>
        </is>
      </c>
      <c r="D4046" s="12" t="inlineStr">
        <is>
          <t>Instrumentation</t>
        </is>
      </c>
      <c r="E4046" s="12" t="inlineStr"/>
      <c r="F4046" s="12" t="inlineStr">
        <is>
          <t>BESS EMS / SCADA and revenue metering</t>
        </is>
      </c>
      <c r="G4046" s="12" t="inlineStr">
        <is>
          <t>BESS</t>
        </is>
      </c>
      <c r="H4046" s="12" t="inlineStr">
        <is>
          <t>BESS blocks: 30 containers + 15 PCS / MV skids</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Duct bank</t>
        </is>
      </c>
      <c r="T4046" s="15" t="n">
        <v>336</v>
      </c>
      <c r="U4046" s="15" t="n">
        <v>32</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H-I-0063</t>
        </is>
      </c>
      <c r="B4047" s="12" t="inlineStr">
        <is>
          <t>H</t>
        </is>
      </c>
      <c r="C4047" s="12" t="inlineStr">
        <is>
          <t>BESS</t>
        </is>
      </c>
      <c r="D4047" s="12" t="inlineStr">
        <is>
          <t>Instrumentation</t>
        </is>
      </c>
      <c r="E4047" s="12" t="inlineStr"/>
      <c r="F4047" s="12" t="inlineStr">
        <is>
          <t>BESS EMS / SCADA and revenue metering</t>
        </is>
      </c>
      <c r="G4047" s="12" t="inlineStr">
        <is>
          <t>BESS</t>
        </is>
      </c>
      <c r="H4047" s="12" t="inlineStr">
        <is>
          <t>BESS blocks: 30 containers + 15 PCS / MV skids</t>
        </is>
      </c>
      <c r="I4047" s="12" t="inlineStr">
        <is>
          <t>Instrumentation</t>
        </is>
      </c>
      <c r="J4047" s="12" t="inlineStr">
        <is>
          <t>Instrumentation PLTC / TC-ER 300 V, #18 twisted shielded pairs, overall shield</t>
        </is>
      </c>
      <c r="K4047" s="12" t="inlineStr">
        <is>
          <t>PLTC|12 pr|18</t>
        </is>
      </c>
      <c r="L4047" s="12" t="inlineStr">
        <is>
          <t>12 pr</t>
        </is>
      </c>
      <c r="M4047" s="12" t="inlineStr">
        <is>
          <t>18</t>
        </is>
      </c>
      <c r="N4047" s="12" t="n">
        <v>1</v>
      </c>
      <c r="O4047" s="12" t="n">
        <v>1</v>
      </c>
      <c r="P4047" s="12" t="n"/>
      <c r="Q4047" s="12" t="n"/>
      <c r="R4047" s="12" t="n"/>
      <c r="S4047" s="12" t="inlineStr">
        <is>
          <t>Duct bank</t>
        </is>
      </c>
      <c r="T4047" s="15" t="n">
        <v>336</v>
      </c>
      <c r="U4047" s="15" t="n">
        <v>32</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H-I-0064</t>
        </is>
      </c>
      <c r="B4048" s="12" t="inlineStr">
        <is>
          <t>H</t>
        </is>
      </c>
      <c r="C4048" s="12" t="inlineStr">
        <is>
          <t>BESS</t>
        </is>
      </c>
      <c r="D4048" s="12" t="inlineStr">
        <is>
          <t>Thermocouples</t>
        </is>
      </c>
      <c r="E4048" s="12" t="inlineStr"/>
      <c r="F4048" s="12" t="inlineStr">
        <is>
          <t>BESS EMS / SCADA and revenue metering</t>
        </is>
      </c>
      <c r="G4048" s="12" t="inlineStr">
        <is>
          <t>BESS</t>
        </is>
      </c>
      <c r="H4048" s="12" t="inlineStr">
        <is>
          <t>BESS blocks: 30 containers + 15 PCS / MV skids</t>
        </is>
      </c>
      <c r="I4048" s="12" t="inlineStr">
        <is>
          <t>Instrumentation</t>
        </is>
      </c>
      <c r="J4048" s="12" t="inlineStr">
        <is>
          <t>Thermocouple extension KX, #16 shielded pairs, PLTC</t>
        </is>
      </c>
      <c r="K4048" s="12" t="inlineStr">
        <is>
          <t>TCX|12 pr|16</t>
        </is>
      </c>
      <c r="L4048" s="12" t="inlineStr">
        <is>
          <t>12 pr</t>
        </is>
      </c>
      <c r="M4048" s="12" t="inlineStr">
        <is>
          <t>16</t>
        </is>
      </c>
      <c r="N4048" s="12" t="n">
        <v>1</v>
      </c>
      <c r="O4048" s="12" t="n">
        <v>1</v>
      </c>
      <c r="P4048" s="12" t="n"/>
      <c r="Q4048" s="12" t="n"/>
      <c r="R4048" s="12" t="n"/>
      <c r="S4048" s="12" t="inlineStr">
        <is>
          <t>Duct bank</t>
        </is>
      </c>
      <c r="T4048" s="15" t="n">
        <v>336</v>
      </c>
      <c r="U4048" s="15" t="n">
        <v>32</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H-I-0065</t>
        </is>
      </c>
      <c r="B4049" s="12" t="inlineStr">
        <is>
          <t>H</t>
        </is>
      </c>
      <c r="C4049" s="12" t="inlineStr">
        <is>
          <t>BESS</t>
        </is>
      </c>
      <c r="D4049" s="12" t="inlineStr">
        <is>
          <t>Thermocouples</t>
        </is>
      </c>
      <c r="E4049" s="12" t="inlineStr"/>
      <c r="F4049" s="12" t="inlineStr">
        <is>
          <t>BESS EMS / SCADA and revenue metering</t>
        </is>
      </c>
      <c r="G4049" s="12" t="inlineStr">
        <is>
          <t>BESS</t>
        </is>
      </c>
      <c r="H4049" s="12" t="inlineStr">
        <is>
          <t>BESS blocks: 30 containers + 15 PCS / MV skids</t>
        </is>
      </c>
      <c r="I4049" s="12" t="inlineStr">
        <is>
          <t>Instrumentation</t>
        </is>
      </c>
      <c r="J4049" s="12" t="inlineStr">
        <is>
          <t>Thermocouple extension KX, #16 shielded pairs, PLTC</t>
        </is>
      </c>
      <c r="K4049" s="12" t="inlineStr">
        <is>
          <t>TCX|12 pr|16</t>
        </is>
      </c>
      <c r="L4049" s="12" t="inlineStr">
        <is>
          <t>12 pr</t>
        </is>
      </c>
      <c r="M4049" s="12" t="inlineStr">
        <is>
          <t>16</t>
        </is>
      </c>
      <c r="N4049" s="12" t="n">
        <v>1</v>
      </c>
      <c r="O4049" s="12" t="n">
        <v>1</v>
      </c>
      <c r="P4049" s="12" t="n"/>
      <c r="Q4049" s="12" t="n"/>
      <c r="R4049" s="12" t="n"/>
      <c r="S4049" s="12" t="inlineStr">
        <is>
          <t>Duct bank</t>
        </is>
      </c>
      <c r="T4049" s="15" t="n">
        <v>336</v>
      </c>
      <c r="U4049" s="15" t="n">
        <v>32</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H-I-0066</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Duct bank</t>
        </is>
      </c>
      <c r="T4050" s="15" t="n">
        <v>10</v>
      </c>
      <c r="U4050" s="15" t="n">
        <v>150</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H-I-0067</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5" t="n">
        <v>0</v>
      </c>
      <c r="U4051" s="15" t="n">
        <v>160</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H-I-0068</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200</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H-I-0069</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200</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H-I-0070</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168</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H-I-0071</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168</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H-I-0072</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10</v>
      </c>
      <c r="U4056" s="15" t="n">
        <v>266</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H-I-0073</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276</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H-I-0074</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316</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H-I-0075</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316</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H-I-0076</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284</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H-I-0077</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Duct bank</t>
        </is>
      </c>
      <c r="T4061" s="15" t="n">
        <v>1501</v>
      </c>
      <c r="U4061" s="15" t="n">
        <v>241</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H-I-0078</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0</v>
      </c>
      <c r="U4062" s="15" t="n">
        <v>290</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H-I-0079</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290</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H-I-0080</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290</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H-I-0081</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290</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H-I-0082</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290</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H-I-0083</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42</v>
      </c>
      <c r="U4067" s="15" t="n">
        <v>234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H-I-0084</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H-I-0085</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174</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H-I-0086</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174</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H-I-0087</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174</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H-I-0088</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174</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H-I-0089</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174</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H-I-0090</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H-I-0091</t>
        </is>
      </c>
      <c r="B4075" s="12" t="inlineStr">
        <is>
          <t>H</t>
        </is>
      </c>
      <c r="C4075" s="12" t="inlineStr">
        <is>
          <t>BESS</t>
        </is>
      </c>
      <c r="D4075" s="12" t="inlineStr">
        <is>
          <t>Instrumentation</t>
        </is>
      </c>
      <c r="E4075" s="12" t="inlineStr"/>
      <c r="F4075" s="12" t="inlineStr">
        <is>
          <t>BESS PCS / MV skid</t>
        </is>
      </c>
      <c r="G4075" s="12" t="inlineStr"/>
      <c r="H4075" s="12" t="inlineStr">
        <is>
          <t>BESS container (ISO 40 ft high cube)</t>
        </is>
      </c>
      <c r="I4075" s="12" t="inlineStr">
        <is>
          <t>Instrumentation</t>
        </is>
      </c>
      <c r="J4075" s="12" t="inlineStr">
        <is>
          <t>Instrumentation PLTC / TC-ER 300 V, #18 twisted shielded pairs, overall shield</t>
        </is>
      </c>
      <c r="K4075" s="12" t="inlineStr">
        <is>
          <t>PLTC|4 pr|18</t>
        </is>
      </c>
      <c r="L4075" s="12" t="inlineStr">
        <is>
          <t>4 pr</t>
        </is>
      </c>
      <c r="M4075" s="12" t="inlineStr">
        <is>
          <t>18</t>
        </is>
      </c>
      <c r="N4075" s="12" t="n">
        <v>1</v>
      </c>
      <c r="O4075" s="12" t="n">
        <v>1</v>
      </c>
      <c r="P4075" s="12" t="n"/>
      <c r="Q4075" s="12" t="n"/>
      <c r="R4075" s="12" t="n"/>
      <c r="S4075" s="12" t="inlineStr">
        <is>
          <t>Tray</t>
        </is>
      </c>
      <c r="T4075" s="15" t="n">
        <v>0</v>
      </c>
      <c r="U4075" s="15" t="n">
        <v>62</v>
      </c>
      <c r="V4075" s="15">
        <f>ROUNDUP((T4075+U4075+2*'Read Me'!$B$13)*(1+'Read Me'!$B$12),-1)</f>
        <v/>
      </c>
      <c r="W4075" s="15">
        <f>V4075*N4075*O4075</f>
        <v/>
      </c>
      <c r="X4075" s="12">
        <f>IF(LEFT(I4075,2)="MV",2*N4075*IF(L4075="1/C",O4075,1),0)</f>
        <v/>
      </c>
      <c r="Y4075" s="12">
        <f>IF(OR(LEFT(K4075,4)="LVAX",LEFT(K4075,6)="MV15AX",LEFT(K4075,4)="CTAX",LEFT(K4075,2)="W|"),2*N4075*O4075,0)</f>
        <v/>
      </c>
      <c r="Z4075" s="12" t="inlineStr"/>
      <c r="AA4075" s="12">
        <f>N4075*O4075</f>
        <v/>
      </c>
    </row>
    <row r="4076">
      <c r="A4076" s="12" t="inlineStr">
        <is>
          <t>H-I-0092</t>
        </is>
      </c>
      <c r="B4076" s="12" t="inlineStr">
        <is>
          <t>H</t>
        </is>
      </c>
      <c r="C4076" s="12" t="inlineStr">
        <is>
          <t>BESS</t>
        </is>
      </c>
      <c r="D4076" s="12" t="inlineStr">
        <is>
          <t>Instrumentation</t>
        </is>
      </c>
      <c r="E4076" s="12" t="inlineStr"/>
      <c r="F4076" s="12" t="inlineStr">
        <is>
          <t>BESS PCS / MV skid</t>
        </is>
      </c>
      <c r="G4076" s="12" t="inlineStr"/>
      <c r="H4076" s="12" t="inlineStr">
        <is>
          <t>BESS container (ISO 40 ft high cube)</t>
        </is>
      </c>
      <c r="I4076" s="12" t="inlineStr">
        <is>
          <t>Instrumentation</t>
        </is>
      </c>
      <c r="J4076" s="12" t="inlineStr">
        <is>
          <t>Instrumentation PLTC / TC-ER 300 V, #18 twisted shielded pairs, overall shield</t>
        </is>
      </c>
      <c r="K4076" s="12" t="inlineStr">
        <is>
          <t>PLTC|4 pr|18</t>
        </is>
      </c>
      <c r="L4076" s="12" t="inlineStr">
        <is>
          <t>4 pr</t>
        </is>
      </c>
      <c r="M4076" s="12" t="inlineStr">
        <is>
          <t>18</t>
        </is>
      </c>
      <c r="N4076" s="12" t="n">
        <v>1</v>
      </c>
      <c r="O4076" s="12" t="n">
        <v>1</v>
      </c>
      <c r="P4076" s="12" t="n"/>
      <c r="Q4076" s="12" t="n"/>
      <c r="R4076" s="12" t="n"/>
      <c r="S4076" s="12" t="inlineStr">
        <is>
          <t>Tray</t>
        </is>
      </c>
      <c r="T4076" s="15" t="n">
        <v>0</v>
      </c>
      <c r="U4076" s="15" t="n">
        <v>62</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H-I-0093</t>
        </is>
      </c>
      <c r="B4077" s="12" t="inlineStr">
        <is>
          <t>H</t>
        </is>
      </c>
      <c r="C4077" s="12" t="inlineStr">
        <is>
          <t>BESS</t>
        </is>
      </c>
      <c r="D4077" s="12" t="inlineStr">
        <is>
          <t>Instrumentation</t>
        </is>
      </c>
      <c r="E4077" s="12" t="inlineStr"/>
      <c r="F4077" s="12" t="inlineStr">
        <is>
          <t>BESS PCS / MV skid</t>
        </is>
      </c>
      <c r="G4077" s="12" t="inlineStr"/>
      <c r="H4077" s="12" t="inlineStr">
        <is>
          <t>BESS container (ISO 40 ft high cube)</t>
        </is>
      </c>
      <c r="I4077" s="12" t="inlineStr">
        <is>
          <t>Instrumentation</t>
        </is>
      </c>
      <c r="J4077" s="12" t="inlineStr">
        <is>
          <t>Instrumentation PLTC / TC-ER 300 V, #18 twisted shielded pairs, overall shield</t>
        </is>
      </c>
      <c r="K4077" s="12" t="inlineStr">
        <is>
          <t>PLTC|4 pr|18</t>
        </is>
      </c>
      <c r="L4077" s="12" t="inlineStr">
        <is>
          <t>4 pr</t>
        </is>
      </c>
      <c r="M4077" s="12" t="inlineStr">
        <is>
          <t>18</t>
        </is>
      </c>
      <c r="N4077" s="12" t="n">
        <v>1</v>
      </c>
      <c r="O4077" s="12" t="n">
        <v>1</v>
      </c>
      <c r="P4077" s="12" t="n"/>
      <c r="Q4077" s="12" t="n"/>
      <c r="R4077" s="12" t="n"/>
      <c r="S4077" s="12" t="inlineStr">
        <is>
          <t>Tray</t>
        </is>
      </c>
      <c r="T4077" s="15" t="n">
        <v>0</v>
      </c>
      <c r="U4077" s="15" t="n">
        <v>62</v>
      </c>
      <c r="V4077" s="15">
        <f>ROUNDUP((T4077+U4077+2*'Read Me'!$B$13)*(1+'Read Me'!$B$12),-1)</f>
        <v/>
      </c>
      <c r="W4077" s="15">
        <f>V4077*N4077*O4077</f>
        <v/>
      </c>
      <c r="X4077" s="12">
        <f>IF(LEFT(I4077,2)="MV",2*N4077*IF(L4077="1/C",O4077,1),0)</f>
        <v/>
      </c>
      <c r="Y4077" s="12">
        <f>IF(OR(LEFT(K4077,4)="LVAX",LEFT(K4077,6)="MV15AX",LEFT(K4077,4)="CTAX",LEFT(K4077,2)="W|"),2*N4077*O4077,0)</f>
        <v/>
      </c>
      <c r="Z4077" s="12" t="inlineStr"/>
      <c r="AA4077" s="12">
        <f>N4077*O4077</f>
        <v/>
      </c>
    </row>
    <row r="4078">
      <c r="A4078" s="12" t="inlineStr">
        <is>
          <t>H-I-0094</t>
        </is>
      </c>
      <c r="B4078" s="12" t="inlineStr">
        <is>
          <t>H</t>
        </is>
      </c>
      <c r="C4078" s="12" t="inlineStr">
        <is>
          <t>BESS</t>
        </is>
      </c>
      <c r="D4078" s="12" t="inlineStr">
        <is>
          <t>Instrumentation</t>
        </is>
      </c>
      <c r="E4078" s="12" t="inlineStr"/>
      <c r="F4078" s="12" t="inlineStr">
        <is>
          <t>BESS PCS / MV skid</t>
        </is>
      </c>
      <c r="G4078" s="12" t="inlineStr"/>
      <c r="H4078" s="12" t="inlineStr">
        <is>
          <t>BESS container (ISO 40 ft high cube)</t>
        </is>
      </c>
      <c r="I4078" s="12" t="inlineStr">
        <is>
          <t>Instrumentation</t>
        </is>
      </c>
      <c r="J4078" s="12" t="inlineStr">
        <is>
          <t>Instrumentation PLTC / TC-ER 300 V, #18 twisted shielded pairs, overall shield</t>
        </is>
      </c>
      <c r="K4078" s="12" t="inlineStr">
        <is>
          <t>PLTC|4 pr|18</t>
        </is>
      </c>
      <c r="L4078" s="12" t="inlineStr">
        <is>
          <t>4 pr</t>
        </is>
      </c>
      <c r="M4078" s="12" t="inlineStr">
        <is>
          <t>18</t>
        </is>
      </c>
      <c r="N4078" s="12" t="n">
        <v>1</v>
      </c>
      <c r="O4078" s="12" t="n">
        <v>1</v>
      </c>
      <c r="P4078" s="12" t="n"/>
      <c r="Q4078" s="12" t="n"/>
      <c r="R4078" s="12" t="n"/>
      <c r="S4078" s="12" t="inlineStr">
        <is>
          <t>Tray</t>
        </is>
      </c>
      <c r="T4078" s="15" t="n">
        <v>0</v>
      </c>
      <c r="U4078" s="15" t="n">
        <v>62</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H-I-0095</t>
        </is>
      </c>
      <c r="B4079" s="12" t="inlineStr">
        <is>
          <t>H</t>
        </is>
      </c>
      <c r="C4079" s="12" t="inlineStr">
        <is>
          <t>BESS</t>
        </is>
      </c>
      <c r="D4079" s="12" t="inlineStr">
        <is>
          <t>Instrumentation</t>
        </is>
      </c>
      <c r="E4079" s="12" t="inlineStr"/>
      <c r="F4079" s="12" t="inlineStr">
        <is>
          <t>BESS PCS / MV skid</t>
        </is>
      </c>
      <c r="G4079" s="12" t="inlineStr"/>
      <c r="H4079" s="12" t="inlineStr">
        <is>
          <t>BESS container (ISO 40 ft high cube)</t>
        </is>
      </c>
      <c r="I4079" s="12" t="inlineStr">
        <is>
          <t>Instrumentation</t>
        </is>
      </c>
      <c r="J4079" s="12" t="inlineStr">
        <is>
          <t>Instrumentation PLTC / TC-ER 300 V, #18 twisted shielded pairs, overall shield</t>
        </is>
      </c>
      <c r="K4079" s="12" t="inlineStr">
        <is>
          <t>PLTC|4 pr|18</t>
        </is>
      </c>
      <c r="L4079" s="12" t="inlineStr">
        <is>
          <t>4 pr</t>
        </is>
      </c>
      <c r="M4079" s="12" t="inlineStr">
        <is>
          <t>18</t>
        </is>
      </c>
      <c r="N4079" s="12" t="n">
        <v>1</v>
      </c>
      <c r="O4079" s="12" t="n">
        <v>1</v>
      </c>
      <c r="P4079" s="12" t="n"/>
      <c r="Q4079" s="12" t="n"/>
      <c r="R4079" s="12" t="n"/>
      <c r="S4079" s="12" t="inlineStr">
        <is>
          <t>Tray</t>
        </is>
      </c>
      <c r="T4079" s="15" t="n">
        <v>0</v>
      </c>
      <c r="U4079" s="15" t="n">
        <v>62</v>
      </c>
      <c r="V4079" s="15">
        <f>ROUNDUP((T4079+U4079+2*'Read Me'!$B$13)*(1+'Read Me'!$B$12),-1)</f>
        <v/>
      </c>
      <c r="W4079" s="15">
        <f>V4079*N4079*O4079</f>
        <v/>
      </c>
      <c r="X4079" s="12">
        <f>IF(LEFT(I4079,2)="MV",2*N4079*IF(L4079="1/C",O4079,1),0)</f>
        <v/>
      </c>
      <c r="Y4079" s="12">
        <f>IF(OR(LEFT(K4079,4)="LVAX",LEFT(K4079,6)="MV15AX",LEFT(K4079,4)="CTAX",LEFT(K4079,2)="W|"),2*N4079*O4079,0)</f>
        <v/>
      </c>
      <c r="Z4079" s="12" t="inlineStr"/>
      <c r="AA4079" s="12">
        <f>N4079*O4079</f>
        <v/>
      </c>
    </row>
    <row r="4080">
      <c r="A4080" s="12" t="inlineStr">
        <is>
          <t>H-I-0096</t>
        </is>
      </c>
      <c r="B4080" s="12" t="inlineStr">
        <is>
          <t>H</t>
        </is>
      </c>
      <c r="C4080" s="12" t="inlineStr">
        <is>
          <t>BESS</t>
        </is>
      </c>
      <c r="D4080" s="12" t="inlineStr">
        <is>
          <t>Discrete device to JB JB-BESS container (IS-DI01: 8 x 1 pr (field cables)</t>
        </is>
      </c>
      <c r="E4080" s="12" t="inlineStr"/>
      <c r="F4080" s="12" t="inlineStr">
        <is>
          <t>BESS container (ISO 40 ft high cube)</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PLTC|1 pr|16</t>
        </is>
      </c>
      <c r="L4080" s="12" t="inlineStr">
        <is>
          <t>1 pr</t>
        </is>
      </c>
      <c r="M4080" s="12" t="inlineStr">
        <is>
          <t>16</t>
        </is>
      </c>
      <c r="N4080" s="12" t="n">
        <v>8</v>
      </c>
      <c r="O4080" s="12" t="n">
        <v>1</v>
      </c>
      <c r="P4080" s="12" t="n"/>
      <c r="Q4080" s="12" t="n"/>
      <c r="R4080" s="12" t="n"/>
      <c r="S4080" s="12" t="inlineStr">
        <is>
          <t>Tray / conduit</t>
        </is>
      </c>
      <c r="T4080" s="15" t="n">
        <v>53</v>
      </c>
      <c r="U4080" s="15" t="n">
        <v>10</v>
      </c>
      <c r="V4080" s="15">
        <f>ROUNDUP((T4080+U4080+2*'Read Me'!$B$13)*(1+'Read Me'!$B$12),-1)</f>
        <v/>
      </c>
      <c r="W4080" s="15">
        <f>V4080*N4080*O4080</f>
        <v/>
      </c>
      <c r="X4080" s="12">
        <f>IF(LEFT(I4080,2)="MV",2*N4080*IF(L4080="1/C",O4080,1),0)</f>
        <v/>
      </c>
      <c r="Y4080" s="12">
        <f>IF(OR(LEFT(K4080,4)="LVAX",LEFT(K4080,6)="MV15AX",LEFT(K4080,4)="CTAX",LEFT(K4080,2)="W|"),2*N4080*O4080,0)</f>
        <v/>
      </c>
      <c r="Z4080" s="12" t="inlineStr">
        <is>
          <t>device-to-JB field wiring, one cable per device</t>
        </is>
      </c>
      <c r="AA4080" s="12">
        <f>N4080*O4080</f>
        <v/>
      </c>
    </row>
    <row r="4081">
      <c r="A4081" s="12" t="inlineStr">
        <is>
          <t>H-I-0097</t>
        </is>
      </c>
      <c r="B4081" s="12" t="inlineStr">
        <is>
          <t>H</t>
        </is>
      </c>
      <c r="C4081" s="12" t="inlineStr">
        <is>
          <t>BESS</t>
        </is>
      </c>
      <c r="D4081" s="12" t="inlineStr">
        <is>
          <t>Home run JB-BESS container (IS-DI01 to the control / marshalling room</t>
        </is>
      </c>
      <c r="E4081" s="12" t="inlineStr"/>
      <c r="F4081" s="12" t="inlineStr">
        <is>
          <t>BESS EMS / SCADA and revenue metering</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PLTC|24 pr|18</t>
        </is>
      </c>
      <c r="L4081" s="12" t="inlineStr">
        <is>
          <t>24 pr</t>
        </is>
      </c>
      <c r="M4081" s="12" t="inlineStr">
        <is>
          <t>18</t>
        </is>
      </c>
      <c r="N4081" s="12" t="n">
        <v>1</v>
      </c>
      <c r="O4081" s="12" t="n">
        <v>1</v>
      </c>
      <c r="P4081" s="12" t="n"/>
      <c r="Q4081" s="12" t="n"/>
      <c r="R4081" s="12" t="n"/>
      <c r="S4081" s="12" t="inlineStr">
        <is>
          <t>Duct bank</t>
        </is>
      </c>
      <c r="T4081" s="15" t="n">
        <v>300</v>
      </c>
      <c r="U4081" s="15" t="n">
        <v>89</v>
      </c>
      <c r="V4081" s="15">
        <f>ROUNDUP((T4081+U4081+2*'Read Me'!$B$13)*(1+'Read Me'!$B$12),-1)</f>
        <v/>
      </c>
      <c r="W4081" s="15">
        <f>V4081*N4081*O4081</f>
        <v/>
      </c>
      <c r="X4081" s="12">
        <f>IF(LEFT(I4081,2)="MV",2*N4081*IF(L4081="1/C",O4081,1),0)</f>
        <v/>
      </c>
      <c r="Y4081" s="12">
        <f>IF(OR(LEFT(K4081,4)="LVAX",LEFT(K4081,6)="MV15AX",LEFT(K4081,4)="CTAX",LEFT(K4081,2)="W|"),2*N4081*O4081,0)</f>
        <v/>
      </c>
      <c r="Z4081" s="12" t="inlineStr"/>
      <c r="AA4081" s="12">
        <f>N4081*O4081</f>
        <v/>
      </c>
    </row>
    <row r="4082">
      <c r="A4082" s="12" t="inlineStr">
        <is>
          <t>H-I-0098</t>
        </is>
      </c>
      <c r="B4082" s="12" t="inlineStr">
        <is>
          <t>H</t>
        </is>
      </c>
      <c r="C4082" s="12" t="inlineStr">
        <is>
          <t>BESS</t>
        </is>
      </c>
      <c r="D4082" s="12" t="inlineStr">
        <is>
          <t>Discrete device to JB JB-BESS container (IS-DI01: 8 x 1 pr (field cables)</t>
        </is>
      </c>
      <c r="E4082" s="12" t="inlineStr"/>
      <c r="F4082" s="12" t="inlineStr">
        <is>
          <t>BESS container (ISO 40 ft high cube)</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PLTC|1 pr|16</t>
        </is>
      </c>
      <c r="L4082" s="12" t="inlineStr">
        <is>
          <t>1 pr</t>
        </is>
      </c>
      <c r="M4082" s="12" t="inlineStr">
        <is>
          <t>16</t>
        </is>
      </c>
      <c r="N4082" s="12" t="n">
        <v>8</v>
      </c>
      <c r="O4082" s="12" t="n">
        <v>1</v>
      </c>
      <c r="P4082" s="12" t="n"/>
      <c r="Q4082" s="12" t="n"/>
      <c r="R4082" s="12" t="n"/>
      <c r="S4082" s="12" t="inlineStr">
        <is>
          <t>Tray / conduit</t>
        </is>
      </c>
      <c r="T4082" s="15" t="n">
        <v>53</v>
      </c>
      <c r="U4082" s="15" t="n">
        <v>10</v>
      </c>
      <c r="V4082" s="15">
        <f>ROUNDUP((T4082+U4082+2*'Read Me'!$B$13)*(1+'Read Me'!$B$12),-1)</f>
        <v/>
      </c>
      <c r="W4082" s="15">
        <f>V4082*N4082*O4082</f>
        <v/>
      </c>
      <c r="X4082" s="12">
        <f>IF(LEFT(I4082,2)="MV",2*N4082*IF(L4082="1/C",O4082,1),0)</f>
        <v/>
      </c>
      <c r="Y4082" s="12">
        <f>IF(OR(LEFT(K4082,4)="LVAX",LEFT(K4082,6)="MV15AX",LEFT(K4082,4)="CTAX",LEFT(K4082,2)="W|"),2*N4082*O4082,0)</f>
        <v/>
      </c>
      <c r="Z4082" s="12" t="inlineStr">
        <is>
          <t>device-to-JB field wiring, one cable per device</t>
        </is>
      </c>
      <c r="AA4082" s="12">
        <f>N4082*O4082</f>
        <v/>
      </c>
    </row>
    <row r="4083">
      <c r="A4083" s="12" t="inlineStr">
        <is>
          <t>H-I-0099</t>
        </is>
      </c>
      <c r="B4083" s="12" t="inlineStr">
        <is>
          <t>H</t>
        </is>
      </c>
      <c r="C4083" s="12" t="inlineStr">
        <is>
          <t>BESS</t>
        </is>
      </c>
      <c r="D4083" s="12" t="inlineStr">
        <is>
          <t>Home run JB-BESS container (IS-DI01 to the control / marshalling room</t>
        </is>
      </c>
      <c r="E4083" s="12" t="inlineStr"/>
      <c r="F4083" s="12" t="inlineStr">
        <is>
          <t>BESS EMS / SCADA and revenue metering</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PLTC|24 pr|18</t>
        </is>
      </c>
      <c r="L4083" s="12" t="inlineStr">
        <is>
          <t>24 pr</t>
        </is>
      </c>
      <c r="M4083" s="12" t="inlineStr">
        <is>
          <t>18</t>
        </is>
      </c>
      <c r="N4083" s="12" t="n">
        <v>1</v>
      </c>
      <c r="O4083" s="12" t="n">
        <v>1</v>
      </c>
      <c r="P4083" s="12" t="n"/>
      <c r="Q4083" s="12" t="n"/>
      <c r="R4083" s="12" t="n"/>
      <c r="S4083" s="12" t="inlineStr">
        <is>
          <t>Duct bank</t>
        </is>
      </c>
      <c r="T4083" s="15" t="n">
        <v>160</v>
      </c>
      <c r="U4083" s="15" t="n">
        <v>169</v>
      </c>
      <c r="V4083" s="15">
        <f>ROUNDUP((T4083+U4083+2*'Read Me'!$B$13)*(1+'Read Me'!$B$12),-1)</f>
        <v/>
      </c>
      <c r="W4083" s="15">
        <f>V4083*N4083*O4083</f>
        <v/>
      </c>
      <c r="X4083" s="12">
        <f>IF(LEFT(I4083,2)="MV",2*N4083*IF(L4083="1/C",O4083,1),0)</f>
        <v/>
      </c>
      <c r="Y4083" s="12">
        <f>IF(OR(LEFT(K4083,4)="LVAX",LEFT(K4083,6)="MV15AX",LEFT(K4083,4)="CTAX",LEFT(K4083,2)="W|"),2*N4083*O4083,0)</f>
        <v/>
      </c>
      <c r="Z4083" s="12" t="inlineStr"/>
      <c r="AA4083" s="12">
        <f>N4083*O4083</f>
        <v/>
      </c>
    </row>
    <row r="4084">
      <c r="A4084" s="12" t="inlineStr">
        <is>
          <t>H-I-0100</t>
        </is>
      </c>
      <c r="B4084" s="12" t="inlineStr">
        <is>
          <t>H</t>
        </is>
      </c>
      <c r="C4084" s="12" t="inlineStr">
        <is>
          <t>BESS</t>
        </is>
      </c>
      <c r="D4084" s="12" t="inlineStr">
        <is>
          <t>Discrete device to JB JB-BESS container (IS-DI01: 8 x 1 pr (field cables)</t>
        </is>
      </c>
      <c r="E4084" s="12" t="inlineStr"/>
      <c r="F4084" s="12" t="inlineStr">
        <is>
          <t>BESS container (ISO 40 ft high cube)</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PLTC|1 pr|16</t>
        </is>
      </c>
      <c r="L4084" s="12" t="inlineStr">
        <is>
          <t>1 pr</t>
        </is>
      </c>
      <c r="M4084" s="12" t="inlineStr">
        <is>
          <t>16</t>
        </is>
      </c>
      <c r="N4084" s="12" t="n">
        <v>8</v>
      </c>
      <c r="O4084" s="12" t="n">
        <v>1</v>
      </c>
      <c r="P4084" s="12" t="n"/>
      <c r="Q4084" s="12" t="n"/>
      <c r="R4084" s="12" t="n"/>
      <c r="S4084" s="12" t="inlineStr">
        <is>
          <t>Tray / conduit</t>
        </is>
      </c>
      <c r="T4084" s="15" t="n">
        <v>53</v>
      </c>
      <c r="U4084" s="15" t="n">
        <v>10</v>
      </c>
      <c r="V4084" s="15">
        <f>ROUNDUP((T4084+U4084+2*'Read Me'!$B$13)*(1+'Read Me'!$B$12),-1)</f>
        <v/>
      </c>
      <c r="W4084" s="15">
        <f>V4084*N4084*O4084</f>
        <v/>
      </c>
      <c r="X4084" s="12">
        <f>IF(LEFT(I4084,2)="MV",2*N4084*IF(L4084="1/C",O4084,1),0)</f>
        <v/>
      </c>
      <c r="Y4084" s="12">
        <f>IF(OR(LEFT(K4084,4)="LVAX",LEFT(K4084,6)="MV15AX",LEFT(K4084,4)="CTAX",LEFT(K4084,2)="W|"),2*N4084*O4084,0)</f>
        <v/>
      </c>
      <c r="Z4084" s="12" t="inlineStr">
        <is>
          <t>device-to-JB field wiring, one cable per device</t>
        </is>
      </c>
      <c r="AA4084" s="12">
        <f>N4084*O4084</f>
        <v/>
      </c>
    </row>
    <row r="4085">
      <c r="A4085" s="12" t="inlineStr">
        <is>
          <t>H-I-0101</t>
        </is>
      </c>
      <c r="B4085" s="12" t="inlineStr">
        <is>
          <t>H</t>
        </is>
      </c>
      <c r="C4085" s="12" t="inlineStr">
        <is>
          <t>BESS</t>
        </is>
      </c>
      <c r="D4085" s="12" t="inlineStr">
        <is>
          <t>Home run JB-BESS container (IS-DI01 to the control / marshalling room</t>
        </is>
      </c>
      <c r="E4085" s="12" t="inlineStr"/>
      <c r="F4085" s="12" t="inlineStr">
        <is>
          <t>BESS EMS / SCADA and revenue metering</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PLTC|24 pr|18</t>
        </is>
      </c>
      <c r="L4085" s="12" t="inlineStr">
        <is>
          <t>24 pr</t>
        </is>
      </c>
      <c r="M4085" s="12" t="inlineStr">
        <is>
          <t>18</t>
        </is>
      </c>
      <c r="N4085" s="12" t="n">
        <v>1</v>
      </c>
      <c r="O4085" s="12" t="n">
        <v>1</v>
      </c>
      <c r="P4085" s="12" t="n"/>
      <c r="Q4085" s="12" t="n"/>
      <c r="R4085" s="12" t="n"/>
      <c r="S4085" s="12" t="inlineStr">
        <is>
          <t>Duct bank</t>
        </is>
      </c>
      <c r="T4085" s="15" t="n">
        <v>160</v>
      </c>
      <c r="U4085" s="15" t="n">
        <v>109</v>
      </c>
      <c r="V4085" s="15">
        <f>ROUNDUP((T4085+U4085+2*'Read Me'!$B$13)*(1+'Read Me'!$B$12),-1)</f>
        <v/>
      </c>
      <c r="W4085" s="15">
        <f>V4085*N4085*O4085</f>
        <v/>
      </c>
      <c r="X4085" s="12">
        <f>IF(LEFT(I4085,2)="MV",2*N4085*IF(L4085="1/C",O4085,1),0)</f>
        <v/>
      </c>
      <c r="Y4085" s="12">
        <f>IF(OR(LEFT(K4085,4)="LVAX",LEFT(K4085,6)="MV15AX",LEFT(K4085,4)="CTAX",LEFT(K4085,2)="W|"),2*N4085*O4085,0)</f>
        <v/>
      </c>
      <c r="Z4085" s="12" t="inlineStr"/>
      <c r="AA4085" s="12">
        <f>N4085*O4085</f>
        <v/>
      </c>
    </row>
    <row r="4086">
      <c r="A4086" s="12" t="inlineStr">
        <is>
          <t>H-I-0102</t>
        </is>
      </c>
      <c r="B4086" s="12" t="inlineStr">
        <is>
          <t>H</t>
        </is>
      </c>
      <c r="C4086" s="12" t="inlineStr">
        <is>
          <t>BESS</t>
        </is>
      </c>
      <c r="D4086" s="12" t="inlineStr">
        <is>
          <t>Discrete device to JB JB-BESS container (IS-DI01: 8 x 1 pr (field cables)</t>
        </is>
      </c>
      <c r="E4086" s="12" t="inlineStr"/>
      <c r="F4086" s="12" t="inlineStr">
        <is>
          <t>BESS container (ISO 40 ft high cube)</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PLTC|1 pr|16</t>
        </is>
      </c>
      <c r="L4086" s="12" t="inlineStr">
        <is>
          <t>1 pr</t>
        </is>
      </c>
      <c r="M4086" s="12" t="inlineStr">
        <is>
          <t>16</t>
        </is>
      </c>
      <c r="N4086" s="12" t="n">
        <v>8</v>
      </c>
      <c r="O4086" s="12" t="n">
        <v>1</v>
      </c>
      <c r="P4086" s="12" t="n"/>
      <c r="Q4086" s="12" t="n"/>
      <c r="R4086" s="12" t="n"/>
      <c r="S4086" s="12" t="inlineStr">
        <is>
          <t>Tray / conduit</t>
        </is>
      </c>
      <c r="T4086" s="15" t="n">
        <v>53</v>
      </c>
      <c r="U4086" s="15" t="n">
        <v>10</v>
      </c>
      <c r="V4086" s="15">
        <f>ROUNDUP((T4086+U4086+2*'Read Me'!$B$13)*(1+'Read Me'!$B$12),-1)</f>
        <v/>
      </c>
      <c r="W4086" s="15">
        <f>V4086*N4086*O4086</f>
        <v/>
      </c>
      <c r="X4086" s="12">
        <f>IF(LEFT(I4086,2)="MV",2*N4086*IF(L4086="1/C",O4086,1),0)</f>
        <v/>
      </c>
      <c r="Y4086" s="12">
        <f>IF(OR(LEFT(K4086,4)="LVAX",LEFT(K4086,6)="MV15AX",LEFT(K4086,4)="CTAX",LEFT(K4086,2)="W|"),2*N4086*O4086,0)</f>
        <v/>
      </c>
      <c r="Z4086" s="12" t="inlineStr">
        <is>
          <t>device-to-JB field wiring, one cable per device</t>
        </is>
      </c>
      <c r="AA4086" s="12">
        <f>N4086*O4086</f>
        <v/>
      </c>
    </row>
    <row r="4087">
      <c r="A4087" s="12" t="inlineStr">
        <is>
          <t>H-I-0103</t>
        </is>
      </c>
      <c r="B4087" s="12" t="inlineStr">
        <is>
          <t>H</t>
        </is>
      </c>
      <c r="C4087" s="12" t="inlineStr">
        <is>
          <t>BESS</t>
        </is>
      </c>
      <c r="D4087" s="12" t="inlineStr">
        <is>
          <t>Home run JB-BESS container (IS-DI01 to the control / marshalling room</t>
        </is>
      </c>
      <c r="E4087" s="12" t="inlineStr"/>
      <c r="F4087" s="12" t="inlineStr">
        <is>
          <t>BESS EMS / SCADA and revenue metering</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PLTC|24 pr|18</t>
        </is>
      </c>
      <c r="L4087" s="12" t="inlineStr">
        <is>
          <t>24 pr</t>
        </is>
      </c>
      <c r="M4087" s="12" t="inlineStr">
        <is>
          <t>18</t>
        </is>
      </c>
      <c r="N4087" s="12" t="n">
        <v>1</v>
      </c>
      <c r="O4087" s="12" t="n">
        <v>1</v>
      </c>
      <c r="P4087" s="12" t="n"/>
      <c r="Q4087" s="12" t="n"/>
      <c r="R4087" s="12" t="n"/>
      <c r="S4087" s="12" t="inlineStr">
        <is>
          <t>Duct bank</t>
        </is>
      </c>
      <c r="T4087" s="15" t="n">
        <v>70</v>
      </c>
      <c r="U4087" s="15" t="n">
        <v>139</v>
      </c>
      <c r="V4087" s="15">
        <f>ROUNDUP((T4087+U4087+2*'Read Me'!$B$13)*(1+'Read Me'!$B$12),-1)</f>
        <v/>
      </c>
      <c r="W4087" s="15">
        <f>V4087*N4087*O4087</f>
        <v/>
      </c>
      <c r="X4087" s="12">
        <f>IF(LEFT(I4087,2)="MV",2*N4087*IF(L4087="1/C",O4087,1),0)</f>
        <v/>
      </c>
      <c r="Y4087" s="12">
        <f>IF(OR(LEFT(K4087,4)="LVAX",LEFT(K4087,6)="MV15AX",LEFT(K4087,4)="CTAX",LEFT(K4087,2)="W|"),2*N4087*O4087,0)</f>
        <v/>
      </c>
      <c r="Z4087" s="12" t="inlineStr"/>
      <c r="AA4087" s="12">
        <f>N4087*O4087</f>
        <v/>
      </c>
    </row>
    <row r="4088">
      <c r="A4088" s="12" t="inlineStr">
        <is>
          <t>H-I-0104</t>
        </is>
      </c>
      <c r="B4088" s="12" t="inlineStr">
        <is>
          <t>H</t>
        </is>
      </c>
      <c r="C4088" s="12" t="inlineStr">
        <is>
          <t>BESS</t>
        </is>
      </c>
      <c r="D4088" s="12" t="inlineStr">
        <is>
          <t>Discrete device to JB JB-BESS container (IS-DI01: 8 x 1 pr (field cables)</t>
        </is>
      </c>
      <c r="E4088" s="12" t="inlineStr"/>
      <c r="F4088" s="12" t="inlineStr">
        <is>
          <t>BESS container (ISO 40 ft high cube)</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PLTC|1 pr|16</t>
        </is>
      </c>
      <c r="L4088" s="12" t="inlineStr">
        <is>
          <t>1 pr</t>
        </is>
      </c>
      <c r="M4088" s="12" t="inlineStr">
        <is>
          <t>16</t>
        </is>
      </c>
      <c r="N4088" s="12" t="n">
        <v>8</v>
      </c>
      <c r="O4088" s="12" t="n">
        <v>1</v>
      </c>
      <c r="P4088" s="12" t="n"/>
      <c r="Q4088" s="12" t="n"/>
      <c r="R4088" s="12" t="n"/>
      <c r="S4088" s="12" t="inlineStr">
        <is>
          <t>Tray / conduit</t>
        </is>
      </c>
      <c r="T4088" s="15" t="n">
        <v>53</v>
      </c>
      <c r="U4088" s="15" t="n">
        <v>10</v>
      </c>
      <c r="V4088" s="15">
        <f>ROUNDUP((T4088+U4088+2*'Read Me'!$B$13)*(1+'Read Me'!$B$12),-1)</f>
        <v/>
      </c>
      <c r="W4088" s="15">
        <f>V4088*N4088*O4088</f>
        <v/>
      </c>
      <c r="X4088" s="12">
        <f>IF(LEFT(I4088,2)="MV",2*N4088*IF(L4088="1/C",O4088,1),0)</f>
        <v/>
      </c>
      <c r="Y4088" s="12">
        <f>IF(OR(LEFT(K4088,4)="LVAX",LEFT(K4088,6)="MV15AX",LEFT(K4088,4)="CTAX",LEFT(K4088,2)="W|"),2*N4088*O4088,0)</f>
        <v/>
      </c>
      <c r="Z4088" s="12" t="inlineStr">
        <is>
          <t>device-to-JB field wiring, one cable per device</t>
        </is>
      </c>
      <c r="AA4088" s="12">
        <f>N4088*O4088</f>
        <v/>
      </c>
    </row>
    <row r="4089">
      <c r="A4089" s="12" t="inlineStr">
        <is>
          <t>H-I-0105</t>
        </is>
      </c>
      <c r="B4089" s="12" t="inlineStr">
        <is>
          <t>H</t>
        </is>
      </c>
      <c r="C4089" s="12" t="inlineStr">
        <is>
          <t>BESS</t>
        </is>
      </c>
      <c r="D4089" s="12" t="inlineStr">
        <is>
          <t>Home run JB-BESS container (IS-DI01 to the control / marshalling room</t>
        </is>
      </c>
      <c r="E4089" s="12" t="inlineStr"/>
      <c r="F4089" s="12" t="inlineStr">
        <is>
          <t>BESS EMS / SCADA and revenue metering</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PLTC|24 pr|18</t>
        </is>
      </c>
      <c r="L4089" s="12" t="inlineStr">
        <is>
          <t>24 pr</t>
        </is>
      </c>
      <c r="M4089" s="12" t="inlineStr">
        <is>
          <t>18</t>
        </is>
      </c>
      <c r="N4089" s="12" t="n">
        <v>1</v>
      </c>
      <c r="O4089" s="12" t="n">
        <v>1</v>
      </c>
      <c r="P4089" s="12" t="n"/>
      <c r="Q4089" s="12" t="n"/>
      <c r="R4089" s="12" t="n"/>
      <c r="S4089" s="12" t="inlineStr">
        <is>
          <t>Duct bank</t>
        </is>
      </c>
      <c r="T4089" s="15" t="n">
        <v>30</v>
      </c>
      <c r="U4089" s="15" t="n">
        <v>93</v>
      </c>
      <c r="V4089" s="15">
        <f>ROUNDUP((T4089+U4089+2*'Read Me'!$B$13)*(1+'Read Me'!$B$12),-1)</f>
        <v/>
      </c>
      <c r="W4089" s="15">
        <f>V4089*N4089*O4089</f>
        <v/>
      </c>
      <c r="X4089" s="12">
        <f>IF(LEFT(I4089,2)="MV",2*N4089*IF(L4089="1/C",O4089,1),0)</f>
        <v/>
      </c>
      <c r="Y4089" s="12">
        <f>IF(OR(LEFT(K4089,4)="LVAX",LEFT(K4089,6)="MV15AX",LEFT(K4089,4)="CTAX",LEFT(K4089,2)="W|"),2*N4089*O4089,0)</f>
        <v/>
      </c>
      <c r="Z4089" s="12" t="inlineStr"/>
      <c r="AA4089" s="12">
        <f>N4089*O4089</f>
        <v/>
      </c>
    </row>
    <row r="4090">
      <c r="A4090" s="12" t="inlineStr">
        <is>
          <t>H-I-0106</t>
        </is>
      </c>
      <c r="B4090" s="12" t="inlineStr">
        <is>
          <t>H</t>
        </is>
      </c>
      <c r="C4090" s="12" t="inlineStr">
        <is>
          <t>BESS</t>
        </is>
      </c>
      <c r="D4090" s="12" t="inlineStr">
        <is>
          <t>Discrete device to JB JB-BESS container (IS-DI01: 8 x 1 pr (field cables)</t>
        </is>
      </c>
      <c r="E4090" s="12" t="inlineStr"/>
      <c r="F4090" s="12" t="inlineStr">
        <is>
          <t>BESS container (ISO 40 ft high cube)</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PLTC|1 pr|16</t>
        </is>
      </c>
      <c r="L4090" s="12" t="inlineStr">
        <is>
          <t>1 pr</t>
        </is>
      </c>
      <c r="M4090" s="12" t="inlineStr">
        <is>
          <t>16</t>
        </is>
      </c>
      <c r="N4090" s="12" t="n">
        <v>8</v>
      </c>
      <c r="O4090" s="12" t="n">
        <v>1</v>
      </c>
      <c r="P4090" s="12" t="n"/>
      <c r="Q4090" s="12" t="n"/>
      <c r="R4090" s="12" t="n"/>
      <c r="S4090" s="12" t="inlineStr">
        <is>
          <t>Tray / conduit</t>
        </is>
      </c>
      <c r="T4090" s="15" t="n">
        <v>53</v>
      </c>
      <c r="U4090" s="15" t="n">
        <v>10</v>
      </c>
      <c r="V4090" s="15">
        <f>ROUNDUP((T4090+U4090+2*'Read Me'!$B$13)*(1+'Read Me'!$B$12),-1)</f>
        <v/>
      </c>
      <c r="W4090" s="15">
        <f>V4090*N4090*O4090</f>
        <v/>
      </c>
      <c r="X4090" s="12">
        <f>IF(LEFT(I4090,2)="MV",2*N4090*IF(L4090="1/C",O4090,1),0)</f>
        <v/>
      </c>
      <c r="Y4090" s="12">
        <f>IF(OR(LEFT(K4090,4)="LVAX",LEFT(K4090,6)="MV15AX",LEFT(K4090,4)="CTAX",LEFT(K4090,2)="W|"),2*N4090*O4090,0)</f>
        <v/>
      </c>
      <c r="Z4090" s="12" t="inlineStr">
        <is>
          <t>device-to-JB field wiring, one cable per device</t>
        </is>
      </c>
      <c r="AA4090" s="12">
        <f>N4090*O4090</f>
        <v/>
      </c>
    </row>
    <row r="4091">
      <c r="A4091" s="12" t="inlineStr">
        <is>
          <t>H-I-0107</t>
        </is>
      </c>
      <c r="B4091" s="12" t="inlineStr">
        <is>
          <t>H</t>
        </is>
      </c>
      <c r="C4091" s="12" t="inlineStr">
        <is>
          <t>BESS</t>
        </is>
      </c>
      <c r="D4091" s="12" t="inlineStr">
        <is>
          <t>Home run JB-BESS container (IS-DI01 to the control / marshalling room</t>
        </is>
      </c>
      <c r="E4091" s="12" t="inlineStr"/>
      <c r="F4091" s="12" t="inlineStr">
        <is>
          <t>BESS EMS / SCADA and revenue metering</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PLTC|24 pr|18</t>
        </is>
      </c>
      <c r="L4091" s="12" t="inlineStr">
        <is>
          <t>24 pr</t>
        </is>
      </c>
      <c r="M4091" s="12" t="inlineStr">
        <is>
          <t>18</t>
        </is>
      </c>
      <c r="N4091" s="12" t="n">
        <v>1</v>
      </c>
      <c r="O4091" s="12" t="n">
        <v>1</v>
      </c>
      <c r="P4091" s="12" t="n"/>
      <c r="Q4091" s="12" t="n"/>
      <c r="R4091" s="12" t="n"/>
      <c r="S4091" s="12" t="inlineStr">
        <is>
          <t>Tray</t>
        </is>
      </c>
      <c r="T4091" s="15" t="n">
        <v>0</v>
      </c>
      <c r="U4091" s="15" t="n">
        <v>83</v>
      </c>
      <c r="V4091" s="15">
        <f>ROUNDUP((T4091+U4091+2*'Read Me'!$B$13)*(1+'Read Me'!$B$12),-1)</f>
        <v/>
      </c>
      <c r="W4091" s="15">
        <f>V4091*N4091*O4091</f>
        <v/>
      </c>
      <c r="X4091" s="12">
        <f>IF(LEFT(I4091,2)="MV",2*N4091*IF(L4091="1/C",O4091,1),0)</f>
        <v/>
      </c>
      <c r="Y4091" s="12">
        <f>IF(OR(LEFT(K4091,4)="LVAX",LEFT(K4091,6)="MV15AX",LEFT(K4091,4)="CTAX",LEFT(K4091,2)="W|"),2*N4091*O4091,0)</f>
        <v/>
      </c>
      <c r="Z4091" s="12" t="inlineStr"/>
      <c r="AA4091" s="12">
        <f>N4091*O4091</f>
        <v/>
      </c>
    </row>
    <row r="4092">
      <c r="A4092" s="12" t="inlineStr">
        <is>
          <t>H-I-0108</t>
        </is>
      </c>
      <c r="B4092" s="12" t="inlineStr">
        <is>
          <t>H</t>
        </is>
      </c>
      <c r="C4092" s="12" t="inlineStr">
        <is>
          <t>BESS</t>
        </is>
      </c>
      <c r="D4092" s="12" t="inlineStr">
        <is>
          <t>Discrete device to JB JB-BESS container (IS-DI01: 8 x 1 pr (field cables)</t>
        </is>
      </c>
      <c r="E4092" s="12" t="inlineStr"/>
      <c r="F4092" s="12" t="inlineStr">
        <is>
          <t>BESS container (ISO 40 ft high cube)</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PLTC|1 pr|16</t>
        </is>
      </c>
      <c r="L4092" s="12" t="inlineStr">
        <is>
          <t>1 pr</t>
        </is>
      </c>
      <c r="M4092" s="12" t="inlineStr">
        <is>
          <t>16</t>
        </is>
      </c>
      <c r="N4092" s="12" t="n">
        <v>8</v>
      </c>
      <c r="O4092" s="12" t="n">
        <v>1</v>
      </c>
      <c r="P4092" s="12" t="n"/>
      <c r="Q4092" s="12" t="n"/>
      <c r="R4092" s="12" t="n"/>
      <c r="S4092" s="12" t="inlineStr">
        <is>
          <t>Tray / conduit</t>
        </is>
      </c>
      <c r="T4092" s="15" t="n">
        <v>53</v>
      </c>
      <c r="U4092" s="15" t="n">
        <v>10</v>
      </c>
      <c r="V4092" s="15">
        <f>ROUNDUP((T4092+U4092+2*'Read Me'!$B$13)*(1+'Read Me'!$B$12),-1)</f>
        <v/>
      </c>
      <c r="W4092" s="15">
        <f>V4092*N4092*O4092</f>
        <v/>
      </c>
      <c r="X4092" s="12">
        <f>IF(LEFT(I4092,2)="MV",2*N4092*IF(L4092="1/C",O4092,1),0)</f>
        <v/>
      </c>
      <c r="Y4092" s="12">
        <f>IF(OR(LEFT(K4092,4)="LVAX",LEFT(K4092,6)="MV15AX",LEFT(K4092,4)="CTAX",LEFT(K4092,2)="W|"),2*N4092*O4092,0)</f>
        <v/>
      </c>
      <c r="Z4092" s="12" t="inlineStr">
        <is>
          <t>device-to-JB field wiring, one cable per device</t>
        </is>
      </c>
      <c r="AA4092" s="12">
        <f>N4092*O4092</f>
        <v/>
      </c>
    </row>
    <row r="4093">
      <c r="A4093" s="12" t="inlineStr">
        <is>
          <t>H-I-0109</t>
        </is>
      </c>
      <c r="B4093" s="12" t="inlineStr">
        <is>
          <t>H</t>
        </is>
      </c>
      <c r="C4093" s="12" t="inlineStr">
        <is>
          <t>BESS</t>
        </is>
      </c>
      <c r="D4093" s="12" t="inlineStr">
        <is>
          <t>Home run JB-BESS container (IS-DI01 to the control / marshalling room</t>
        </is>
      </c>
      <c r="E4093" s="12" t="inlineStr"/>
      <c r="F4093" s="12" t="inlineStr">
        <is>
          <t>BESS EMS / SCADA and revenue metering</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PLTC|24 pr|18</t>
        </is>
      </c>
      <c r="L4093" s="12" t="inlineStr">
        <is>
          <t>24 pr</t>
        </is>
      </c>
      <c r="M4093" s="12" t="inlineStr">
        <is>
          <t>18</t>
        </is>
      </c>
      <c r="N4093" s="12" t="n">
        <v>1</v>
      </c>
      <c r="O4093" s="12" t="n">
        <v>1</v>
      </c>
      <c r="P4093" s="12" t="n"/>
      <c r="Q4093" s="12" t="n"/>
      <c r="R4093" s="12" t="n"/>
      <c r="S4093" s="12" t="inlineStr">
        <is>
          <t>Duct bank</t>
        </is>
      </c>
      <c r="T4093" s="15" t="n">
        <v>300</v>
      </c>
      <c r="U4093" s="15" t="n">
        <v>147</v>
      </c>
      <c r="V4093" s="15">
        <f>ROUNDUP((T4093+U4093+2*'Read Me'!$B$13)*(1+'Read Me'!$B$12),-1)</f>
        <v/>
      </c>
      <c r="W4093" s="15">
        <f>V4093*N4093*O4093</f>
        <v/>
      </c>
      <c r="X4093" s="12">
        <f>IF(LEFT(I4093,2)="MV",2*N4093*IF(L4093="1/C",O4093,1),0)</f>
        <v/>
      </c>
      <c r="Y4093" s="12">
        <f>IF(OR(LEFT(K4093,4)="LVAX",LEFT(K4093,6)="MV15AX",LEFT(K4093,4)="CTAX",LEFT(K4093,2)="W|"),2*N4093*O4093,0)</f>
        <v/>
      </c>
      <c r="Z4093" s="12" t="inlineStr"/>
      <c r="AA4093" s="12">
        <f>N4093*O4093</f>
        <v/>
      </c>
    </row>
    <row r="4094">
      <c r="A4094" s="12" t="inlineStr">
        <is>
          <t>H-I-0110</t>
        </is>
      </c>
      <c r="B4094" s="12" t="inlineStr">
        <is>
          <t>H</t>
        </is>
      </c>
      <c r="C4094" s="12" t="inlineStr">
        <is>
          <t>BESS</t>
        </is>
      </c>
      <c r="D4094" s="12" t="inlineStr">
        <is>
          <t>Discrete device to JB JB-BESS container (IS-DI01: 8 x 1 pr (field cables)</t>
        </is>
      </c>
      <c r="E4094" s="12" t="inlineStr"/>
      <c r="F4094" s="12" t="inlineStr">
        <is>
          <t>BESS container (ISO 40 ft high cube)</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PLTC|1 pr|16</t>
        </is>
      </c>
      <c r="L4094" s="12" t="inlineStr">
        <is>
          <t>1 pr</t>
        </is>
      </c>
      <c r="M4094" s="12" t="inlineStr">
        <is>
          <t>16</t>
        </is>
      </c>
      <c r="N4094" s="12" t="n">
        <v>8</v>
      </c>
      <c r="O4094" s="12" t="n">
        <v>1</v>
      </c>
      <c r="P4094" s="12" t="n"/>
      <c r="Q4094" s="12" t="n"/>
      <c r="R4094" s="12" t="n"/>
      <c r="S4094" s="12" t="inlineStr">
        <is>
          <t>Tray / conduit</t>
        </is>
      </c>
      <c r="T4094" s="15" t="n">
        <v>53</v>
      </c>
      <c r="U4094" s="15" t="n">
        <v>10</v>
      </c>
      <c r="V4094" s="15">
        <f>ROUNDUP((T4094+U4094+2*'Read Me'!$B$13)*(1+'Read Me'!$B$12),-1)</f>
        <v/>
      </c>
      <c r="W4094" s="15">
        <f>V4094*N4094*O4094</f>
        <v/>
      </c>
      <c r="X4094" s="12">
        <f>IF(LEFT(I4094,2)="MV",2*N4094*IF(L4094="1/C",O4094,1),0)</f>
        <v/>
      </c>
      <c r="Y4094" s="12">
        <f>IF(OR(LEFT(K4094,4)="LVAX",LEFT(K4094,6)="MV15AX",LEFT(K4094,4)="CTAX",LEFT(K4094,2)="W|"),2*N4094*O4094,0)</f>
        <v/>
      </c>
      <c r="Z4094" s="12" t="inlineStr">
        <is>
          <t>device-to-JB field wiring, one cable per device</t>
        </is>
      </c>
      <c r="AA4094" s="12">
        <f>N4094*O4094</f>
        <v/>
      </c>
    </row>
    <row r="4095">
      <c r="A4095" s="12" t="inlineStr">
        <is>
          <t>H-I-0111</t>
        </is>
      </c>
      <c r="B4095" s="12" t="inlineStr">
        <is>
          <t>H</t>
        </is>
      </c>
      <c r="C4095" s="12" t="inlineStr">
        <is>
          <t>BESS</t>
        </is>
      </c>
      <c r="D4095" s="12" t="inlineStr">
        <is>
          <t>Home run JB-BESS container (IS-DI01 to the control / marshalling room</t>
        </is>
      </c>
      <c r="E4095" s="12" t="inlineStr"/>
      <c r="F4095" s="12" t="inlineStr">
        <is>
          <t>BESS EMS / SCADA and revenue metering</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PLTC|24 pr|18</t>
        </is>
      </c>
      <c r="L4095" s="12" t="inlineStr">
        <is>
          <t>24 pr</t>
        </is>
      </c>
      <c r="M4095" s="12" t="inlineStr">
        <is>
          <t>18</t>
        </is>
      </c>
      <c r="N4095" s="12" t="n">
        <v>1</v>
      </c>
      <c r="O4095" s="12" t="n">
        <v>1</v>
      </c>
      <c r="P4095" s="12" t="n"/>
      <c r="Q4095" s="12" t="n"/>
      <c r="R4095" s="12" t="n"/>
      <c r="S4095" s="12" t="inlineStr">
        <is>
          <t>Duct bank</t>
        </is>
      </c>
      <c r="T4095" s="15" t="n">
        <v>160</v>
      </c>
      <c r="U4095" s="15" t="n">
        <v>227</v>
      </c>
      <c r="V4095" s="15">
        <f>ROUNDUP((T4095+U4095+2*'Read Me'!$B$13)*(1+'Read Me'!$B$12),-1)</f>
        <v/>
      </c>
      <c r="W4095" s="15">
        <f>V4095*N4095*O4095</f>
        <v/>
      </c>
      <c r="X4095" s="12">
        <f>IF(LEFT(I4095,2)="MV",2*N4095*IF(L4095="1/C",O4095,1),0)</f>
        <v/>
      </c>
      <c r="Y4095" s="12">
        <f>IF(OR(LEFT(K4095,4)="LVAX",LEFT(K4095,6)="MV15AX",LEFT(K4095,4)="CTAX",LEFT(K4095,2)="W|"),2*N4095*O4095,0)</f>
        <v/>
      </c>
      <c r="Z4095" s="12" t="inlineStr"/>
      <c r="AA4095" s="12">
        <f>N4095*O4095</f>
        <v/>
      </c>
    </row>
    <row r="4096">
      <c r="A4096" s="12" t="inlineStr">
        <is>
          <t>H-I-0112</t>
        </is>
      </c>
      <c r="B4096" s="12" t="inlineStr">
        <is>
          <t>H</t>
        </is>
      </c>
      <c r="C4096" s="12" t="inlineStr">
        <is>
          <t>BESS</t>
        </is>
      </c>
      <c r="D4096" s="12" t="inlineStr">
        <is>
          <t>Discrete device to JB JB-BESS container (IS-DI01: 8 x 1 pr (field cables)</t>
        </is>
      </c>
      <c r="E4096" s="12" t="inlineStr"/>
      <c r="F4096" s="12" t="inlineStr">
        <is>
          <t>BESS container (ISO 40 ft high cube)</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PLTC|1 pr|16</t>
        </is>
      </c>
      <c r="L4096" s="12" t="inlineStr">
        <is>
          <t>1 pr</t>
        </is>
      </c>
      <c r="M4096" s="12" t="inlineStr">
        <is>
          <t>16</t>
        </is>
      </c>
      <c r="N4096" s="12" t="n">
        <v>8</v>
      </c>
      <c r="O4096" s="12" t="n">
        <v>1</v>
      </c>
      <c r="P4096" s="12" t="n"/>
      <c r="Q4096" s="12" t="n"/>
      <c r="R4096" s="12" t="n"/>
      <c r="S4096" s="12" t="inlineStr">
        <is>
          <t>Tray / conduit</t>
        </is>
      </c>
      <c r="T4096" s="15" t="n">
        <v>53</v>
      </c>
      <c r="U4096" s="15" t="n">
        <v>10</v>
      </c>
      <c r="V4096" s="15">
        <f>ROUNDUP((T4096+U4096+2*'Read Me'!$B$13)*(1+'Read Me'!$B$12),-1)</f>
        <v/>
      </c>
      <c r="W4096" s="15">
        <f>V4096*N4096*O4096</f>
        <v/>
      </c>
      <c r="X4096" s="12">
        <f>IF(LEFT(I4096,2)="MV",2*N4096*IF(L4096="1/C",O4096,1),0)</f>
        <v/>
      </c>
      <c r="Y4096" s="12">
        <f>IF(OR(LEFT(K4096,4)="LVAX",LEFT(K4096,6)="MV15AX",LEFT(K4096,4)="CTAX",LEFT(K4096,2)="W|"),2*N4096*O4096,0)</f>
        <v/>
      </c>
      <c r="Z4096" s="12" t="inlineStr">
        <is>
          <t>device-to-JB field wiring, one cable per device</t>
        </is>
      </c>
      <c r="AA4096" s="12">
        <f>N4096*O4096</f>
        <v/>
      </c>
    </row>
    <row r="4097">
      <c r="A4097" s="12" t="inlineStr">
        <is>
          <t>H-I-0113</t>
        </is>
      </c>
      <c r="B4097" s="12" t="inlineStr">
        <is>
          <t>H</t>
        </is>
      </c>
      <c r="C4097" s="12" t="inlineStr">
        <is>
          <t>BESS</t>
        </is>
      </c>
      <c r="D4097" s="12" t="inlineStr">
        <is>
          <t>Home run JB-BESS container (IS-DI01 to the control / marshalling room</t>
        </is>
      </c>
      <c r="E4097" s="12" t="inlineStr"/>
      <c r="F4097" s="12" t="inlineStr">
        <is>
          <t>BESS EMS / SCADA and revenue metering</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PLTC|24 pr|18</t>
        </is>
      </c>
      <c r="L4097" s="12" t="inlineStr">
        <is>
          <t>24 pr</t>
        </is>
      </c>
      <c r="M4097" s="12" t="inlineStr">
        <is>
          <t>18</t>
        </is>
      </c>
      <c r="N4097" s="12" t="n">
        <v>1</v>
      </c>
      <c r="O4097" s="12" t="n">
        <v>1</v>
      </c>
      <c r="P4097" s="12" t="n"/>
      <c r="Q4097" s="12" t="n"/>
      <c r="R4097" s="12" t="n"/>
      <c r="S4097" s="12" t="inlineStr">
        <is>
          <t>Duct bank</t>
        </is>
      </c>
      <c r="T4097" s="15" t="n">
        <v>160</v>
      </c>
      <c r="U4097" s="15" t="n">
        <v>167</v>
      </c>
      <c r="V4097" s="15">
        <f>ROUNDUP((T4097+U4097+2*'Read Me'!$B$13)*(1+'Read Me'!$B$12),-1)</f>
        <v/>
      </c>
      <c r="W4097" s="15">
        <f>V4097*N4097*O4097</f>
        <v/>
      </c>
      <c r="X4097" s="12">
        <f>IF(LEFT(I4097,2)="MV",2*N4097*IF(L4097="1/C",O4097,1),0)</f>
        <v/>
      </c>
      <c r="Y4097" s="12">
        <f>IF(OR(LEFT(K4097,4)="LVAX",LEFT(K4097,6)="MV15AX",LEFT(K4097,4)="CTAX",LEFT(K4097,2)="W|"),2*N4097*O4097,0)</f>
        <v/>
      </c>
      <c r="Z4097" s="12" t="inlineStr"/>
      <c r="AA4097" s="12">
        <f>N4097*O4097</f>
        <v/>
      </c>
    </row>
    <row r="4098">
      <c r="A4098" s="12" t="inlineStr">
        <is>
          <t>H-I-0114</t>
        </is>
      </c>
      <c r="B4098" s="12" t="inlineStr">
        <is>
          <t>H</t>
        </is>
      </c>
      <c r="C4098" s="12" t="inlineStr">
        <is>
          <t>BESS</t>
        </is>
      </c>
      <c r="D4098" s="12" t="inlineStr">
        <is>
          <t>Discrete device to JB JB-BESS container (IS-DI01: 8 x 1 pr (field cables)</t>
        </is>
      </c>
      <c r="E4098" s="12" t="inlineStr"/>
      <c r="F4098" s="12" t="inlineStr">
        <is>
          <t>BESS container (ISO 40 ft high cube)</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PLTC|1 pr|16</t>
        </is>
      </c>
      <c r="L4098" s="12" t="inlineStr">
        <is>
          <t>1 pr</t>
        </is>
      </c>
      <c r="M4098" s="12" t="inlineStr">
        <is>
          <t>16</t>
        </is>
      </c>
      <c r="N4098" s="12" t="n">
        <v>8</v>
      </c>
      <c r="O4098" s="12" t="n">
        <v>1</v>
      </c>
      <c r="P4098" s="12" t="n"/>
      <c r="Q4098" s="12" t="n"/>
      <c r="R4098" s="12" t="n"/>
      <c r="S4098" s="12" t="inlineStr">
        <is>
          <t>Tray / conduit</t>
        </is>
      </c>
      <c r="T4098" s="15" t="n">
        <v>53</v>
      </c>
      <c r="U4098" s="15" t="n">
        <v>10</v>
      </c>
      <c r="V4098" s="15">
        <f>ROUNDUP((T4098+U4098+2*'Read Me'!$B$13)*(1+'Read Me'!$B$12),-1)</f>
        <v/>
      </c>
      <c r="W4098" s="15">
        <f>V4098*N4098*O4098</f>
        <v/>
      </c>
      <c r="X4098" s="12">
        <f>IF(LEFT(I4098,2)="MV",2*N4098*IF(L4098="1/C",O4098,1),0)</f>
        <v/>
      </c>
      <c r="Y4098" s="12">
        <f>IF(OR(LEFT(K4098,4)="LVAX",LEFT(K4098,6)="MV15AX",LEFT(K4098,4)="CTAX",LEFT(K4098,2)="W|"),2*N4098*O4098,0)</f>
        <v/>
      </c>
      <c r="Z4098" s="12" t="inlineStr">
        <is>
          <t>device-to-JB field wiring, one cable per device</t>
        </is>
      </c>
      <c r="AA4098" s="12">
        <f>N4098*O4098</f>
        <v/>
      </c>
    </row>
    <row r="4099">
      <c r="A4099" s="12" t="inlineStr">
        <is>
          <t>H-I-0115</t>
        </is>
      </c>
      <c r="B4099" s="12" t="inlineStr">
        <is>
          <t>H</t>
        </is>
      </c>
      <c r="C4099" s="12" t="inlineStr">
        <is>
          <t>BESS</t>
        </is>
      </c>
      <c r="D4099" s="12" t="inlineStr">
        <is>
          <t>Home run JB-BESS container (IS-DI01 to the control / marshalling room</t>
        </is>
      </c>
      <c r="E4099" s="12" t="inlineStr"/>
      <c r="F4099" s="12" t="inlineStr">
        <is>
          <t>BESS EMS / SCADA and revenue metering</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PLTC|24 pr|18</t>
        </is>
      </c>
      <c r="L4099" s="12" t="inlineStr">
        <is>
          <t>24 pr</t>
        </is>
      </c>
      <c r="M4099" s="12" t="inlineStr">
        <is>
          <t>18</t>
        </is>
      </c>
      <c r="N4099" s="12" t="n">
        <v>1</v>
      </c>
      <c r="O4099" s="12" t="n">
        <v>1</v>
      </c>
      <c r="P4099" s="12" t="n"/>
      <c r="Q4099" s="12" t="n"/>
      <c r="R4099" s="12" t="n"/>
      <c r="S4099" s="12" t="inlineStr">
        <is>
          <t>Duct bank</t>
        </is>
      </c>
      <c r="T4099" s="15" t="n">
        <v>30</v>
      </c>
      <c r="U4099" s="15" t="n">
        <v>211</v>
      </c>
      <c r="V4099" s="15">
        <f>ROUNDUP((T4099+U4099+2*'Read Me'!$B$13)*(1+'Read Me'!$B$12),-1)</f>
        <v/>
      </c>
      <c r="W4099" s="15">
        <f>V4099*N4099*O4099</f>
        <v/>
      </c>
      <c r="X4099" s="12">
        <f>IF(LEFT(I4099,2)="MV",2*N4099*IF(L4099="1/C",O4099,1),0)</f>
        <v/>
      </c>
      <c r="Y4099" s="12">
        <f>IF(OR(LEFT(K4099,4)="LVAX",LEFT(K4099,6)="MV15AX",LEFT(K4099,4)="CTAX",LEFT(K4099,2)="W|"),2*N4099*O4099,0)</f>
        <v/>
      </c>
      <c r="Z4099" s="12" t="inlineStr"/>
      <c r="AA4099" s="12">
        <f>N4099*O4099</f>
        <v/>
      </c>
    </row>
    <row r="4100">
      <c r="A4100" s="12" t="inlineStr">
        <is>
          <t>H-I-0116</t>
        </is>
      </c>
      <c r="B4100" s="12" t="inlineStr">
        <is>
          <t>H</t>
        </is>
      </c>
      <c r="C4100" s="12" t="inlineStr">
        <is>
          <t>BESS</t>
        </is>
      </c>
      <c r="D4100" s="12" t="inlineStr">
        <is>
          <t>Discrete device to JB JB-BESS container (IS-DI01: 8 x 1 pr (field cables)</t>
        </is>
      </c>
      <c r="E4100" s="12" t="inlineStr"/>
      <c r="F4100" s="12" t="inlineStr">
        <is>
          <t>BESS container (ISO 40 ft high cube)</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PLTC|1 pr|16</t>
        </is>
      </c>
      <c r="L4100" s="12" t="inlineStr">
        <is>
          <t>1 pr</t>
        </is>
      </c>
      <c r="M4100" s="12" t="inlineStr">
        <is>
          <t>16</t>
        </is>
      </c>
      <c r="N4100" s="12" t="n">
        <v>8</v>
      </c>
      <c r="O4100" s="12" t="n">
        <v>1</v>
      </c>
      <c r="P4100" s="12" t="n"/>
      <c r="Q4100" s="12" t="n"/>
      <c r="R4100" s="12" t="n"/>
      <c r="S4100" s="12" t="inlineStr">
        <is>
          <t>Tray / conduit</t>
        </is>
      </c>
      <c r="T4100" s="15" t="n">
        <v>53</v>
      </c>
      <c r="U4100" s="15" t="n">
        <v>10</v>
      </c>
      <c r="V4100" s="15">
        <f>ROUNDUP((T4100+U4100+2*'Read Me'!$B$13)*(1+'Read Me'!$B$12),-1)</f>
        <v/>
      </c>
      <c r="W4100" s="15">
        <f>V4100*N4100*O4100</f>
        <v/>
      </c>
      <c r="X4100" s="12">
        <f>IF(LEFT(I4100,2)="MV",2*N4100*IF(L4100="1/C",O4100,1),0)</f>
        <v/>
      </c>
      <c r="Y4100" s="12">
        <f>IF(OR(LEFT(K4100,4)="LVAX",LEFT(K4100,6)="MV15AX",LEFT(K4100,4)="CTAX",LEFT(K4100,2)="W|"),2*N4100*O4100,0)</f>
        <v/>
      </c>
      <c r="Z4100" s="12" t="inlineStr">
        <is>
          <t>device-to-JB field wiring, one cable per device</t>
        </is>
      </c>
      <c r="AA4100" s="12">
        <f>N4100*O4100</f>
        <v/>
      </c>
    </row>
    <row r="4101">
      <c r="A4101" s="12" t="inlineStr">
        <is>
          <t>H-I-0117</t>
        </is>
      </c>
      <c r="B4101" s="12" t="inlineStr">
        <is>
          <t>H</t>
        </is>
      </c>
      <c r="C4101" s="12" t="inlineStr">
        <is>
          <t>BESS</t>
        </is>
      </c>
      <c r="D4101" s="12" t="inlineStr">
        <is>
          <t>Home run JB-BESS container (IS-DI01 to the control / marshalling room</t>
        </is>
      </c>
      <c r="E4101" s="12" t="inlineStr"/>
      <c r="F4101" s="12" t="inlineStr">
        <is>
          <t>BESS EMS / SCADA and revenue metering</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PLTC|24 pr|18</t>
        </is>
      </c>
      <c r="L4101" s="12" t="inlineStr">
        <is>
          <t>24 pr</t>
        </is>
      </c>
      <c r="M4101" s="12" t="inlineStr">
        <is>
          <t>18</t>
        </is>
      </c>
      <c r="N4101" s="12" t="n">
        <v>1</v>
      </c>
      <c r="O4101" s="12" t="n">
        <v>1</v>
      </c>
      <c r="P4101" s="12" t="n"/>
      <c r="Q4101" s="12" t="n"/>
      <c r="R4101" s="12" t="n"/>
      <c r="S4101" s="12" t="inlineStr">
        <is>
          <t>Duct bank</t>
        </is>
      </c>
      <c r="T4101" s="15" t="n">
        <v>30</v>
      </c>
      <c r="U4101" s="15" t="n">
        <v>151</v>
      </c>
      <c r="V4101" s="15">
        <f>ROUNDUP((T4101+U4101+2*'Read Me'!$B$13)*(1+'Read Me'!$B$12),-1)</f>
        <v/>
      </c>
      <c r="W4101" s="15">
        <f>V4101*N4101*O4101</f>
        <v/>
      </c>
      <c r="X4101" s="12">
        <f>IF(LEFT(I4101,2)="MV",2*N4101*IF(L4101="1/C",O4101,1),0)</f>
        <v/>
      </c>
      <c r="Y4101" s="12">
        <f>IF(OR(LEFT(K4101,4)="LVAX",LEFT(K4101,6)="MV15AX",LEFT(K4101,4)="CTAX",LEFT(K4101,2)="W|"),2*N4101*O4101,0)</f>
        <v/>
      </c>
      <c r="Z4101" s="12" t="inlineStr"/>
      <c r="AA4101" s="12">
        <f>N4101*O4101</f>
        <v/>
      </c>
    </row>
    <row r="4102">
      <c r="A4102" s="12" t="inlineStr">
        <is>
          <t>H-I-0118</t>
        </is>
      </c>
      <c r="B4102" s="12" t="inlineStr">
        <is>
          <t>H</t>
        </is>
      </c>
      <c r="C4102" s="12" t="inlineStr">
        <is>
          <t>BESS</t>
        </is>
      </c>
      <c r="D4102" s="12" t="inlineStr">
        <is>
          <t>Discrete device to JB JB-BESS container (IS-DI01: 8 x 1 pr (field cables)</t>
        </is>
      </c>
      <c r="E4102" s="12" t="inlineStr"/>
      <c r="F4102" s="12" t="inlineStr">
        <is>
          <t>BESS container (ISO 40 ft high cube)</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PLTC|1 pr|16</t>
        </is>
      </c>
      <c r="L4102" s="12" t="inlineStr">
        <is>
          <t>1 pr</t>
        </is>
      </c>
      <c r="M4102" s="12" t="inlineStr">
        <is>
          <t>16</t>
        </is>
      </c>
      <c r="N4102" s="12" t="n">
        <v>8</v>
      </c>
      <c r="O4102" s="12" t="n">
        <v>1</v>
      </c>
      <c r="P4102" s="12" t="n"/>
      <c r="Q4102" s="12" t="n"/>
      <c r="R4102" s="12" t="n"/>
      <c r="S4102" s="12" t="inlineStr">
        <is>
          <t>Tray / conduit</t>
        </is>
      </c>
      <c r="T4102" s="15" t="n">
        <v>53</v>
      </c>
      <c r="U4102" s="15" t="n">
        <v>10</v>
      </c>
      <c r="V4102" s="15">
        <f>ROUNDUP((T4102+U4102+2*'Read Me'!$B$13)*(1+'Read Me'!$B$12),-1)</f>
        <v/>
      </c>
      <c r="W4102" s="15">
        <f>V4102*N4102*O4102</f>
        <v/>
      </c>
      <c r="X4102" s="12">
        <f>IF(LEFT(I4102,2)="MV",2*N4102*IF(L4102="1/C",O4102,1),0)</f>
        <v/>
      </c>
      <c r="Y4102" s="12">
        <f>IF(OR(LEFT(K4102,4)="LVAX",LEFT(K4102,6)="MV15AX",LEFT(K4102,4)="CTAX",LEFT(K4102,2)="W|"),2*N4102*O4102,0)</f>
        <v/>
      </c>
      <c r="Z4102" s="12" t="inlineStr">
        <is>
          <t>device-to-JB field wiring, one cable per device</t>
        </is>
      </c>
      <c r="AA4102" s="12">
        <f>N4102*O4102</f>
        <v/>
      </c>
    </row>
    <row r="4103">
      <c r="A4103" s="12" t="inlineStr">
        <is>
          <t>H-I-0119</t>
        </is>
      </c>
      <c r="B4103" s="12" t="inlineStr">
        <is>
          <t>H</t>
        </is>
      </c>
      <c r="C4103" s="12" t="inlineStr">
        <is>
          <t>BESS</t>
        </is>
      </c>
      <c r="D4103" s="12" t="inlineStr">
        <is>
          <t>Home run JB-BESS container (IS-DI01 to the control / marshalling room</t>
        </is>
      </c>
      <c r="E4103" s="12" t="inlineStr"/>
      <c r="F4103" s="12" t="inlineStr">
        <is>
          <t>BESS EMS / SCADA and revenue metering</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PLTC|24 pr|18</t>
        </is>
      </c>
      <c r="L4103" s="12" t="inlineStr">
        <is>
          <t>24 pr</t>
        </is>
      </c>
      <c r="M4103" s="12" t="inlineStr">
        <is>
          <t>18</t>
        </is>
      </c>
      <c r="N4103" s="12" t="n">
        <v>1</v>
      </c>
      <c r="O4103" s="12" t="n">
        <v>1</v>
      </c>
      <c r="P4103" s="12" t="n"/>
      <c r="Q4103" s="12" t="n"/>
      <c r="R4103" s="12" t="n"/>
      <c r="S4103" s="12" t="inlineStr">
        <is>
          <t>Duct bank</t>
        </is>
      </c>
      <c r="T4103" s="15" t="n">
        <v>1555</v>
      </c>
      <c r="U4103" s="15" t="n">
        <v>108</v>
      </c>
      <c r="V4103" s="15">
        <f>ROUNDUP((T4103+U4103+2*'Read Me'!$B$13)*(1+'Read Me'!$B$12),-1)</f>
        <v/>
      </c>
      <c r="W4103" s="15">
        <f>V4103*N4103*O4103</f>
        <v/>
      </c>
      <c r="X4103" s="12">
        <f>IF(LEFT(I4103,2)="MV",2*N4103*IF(L4103="1/C",O4103,1),0)</f>
        <v/>
      </c>
      <c r="Y4103" s="12">
        <f>IF(OR(LEFT(K4103,4)="LVAX",LEFT(K4103,6)="MV15AX",LEFT(K4103,4)="CTAX",LEFT(K4103,2)="W|"),2*N4103*O4103,0)</f>
        <v/>
      </c>
      <c r="Z4103" s="12" t="inlineStr"/>
      <c r="AA4103" s="12">
        <f>N4103*O4103</f>
        <v/>
      </c>
    </row>
    <row r="4104">
      <c r="A4104" s="12" t="inlineStr">
        <is>
          <t>H-I-0120</t>
        </is>
      </c>
      <c r="B4104" s="12" t="inlineStr">
        <is>
          <t>H</t>
        </is>
      </c>
      <c r="C4104" s="12" t="inlineStr">
        <is>
          <t>BESS</t>
        </is>
      </c>
      <c r="D4104" s="12" t="inlineStr">
        <is>
          <t>Discrete device to JB JB-BESS container (IS-DI01: 8 x 1 pr (field cables)</t>
        </is>
      </c>
      <c r="E4104" s="12" t="inlineStr"/>
      <c r="F4104" s="12" t="inlineStr">
        <is>
          <t>BESS container (ISO 40 ft high cube)</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PLTC|1 pr|16</t>
        </is>
      </c>
      <c r="L4104" s="12" t="inlineStr">
        <is>
          <t>1 pr</t>
        </is>
      </c>
      <c r="M4104" s="12" t="inlineStr">
        <is>
          <t>16</t>
        </is>
      </c>
      <c r="N4104" s="12" t="n">
        <v>8</v>
      </c>
      <c r="O4104" s="12" t="n">
        <v>1</v>
      </c>
      <c r="P4104" s="12" t="n"/>
      <c r="Q4104" s="12" t="n"/>
      <c r="R4104" s="12" t="n"/>
      <c r="S4104" s="12" t="inlineStr">
        <is>
          <t>Tray / conduit</t>
        </is>
      </c>
      <c r="T4104" s="15" t="n">
        <v>53</v>
      </c>
      <c r="U4104" s="15" t="n">
        <v>10</v>
      </c>
      <c r="V4104" s="15">
        <f>ROUNDUP((T4104+U4104+2*'Read Me'!$B$13)*(1+'Read Me'!$B$12),-1)</f>
        <v/>
      </c>
      <c r="W4104" s="15">
        <f>V4104*N4104*O4104</f>
        <v/>
      </c>
      <c r="X4104" s="12">
        <f>IF(LEFT(I4104,2)="MV",2*N4104*IF(L4104="1/C",O4104,1),0)</f>
        <v/>
      </c>
      <c r="Y4104" s="12">
        <f>IF(OR(LEFT(K4104,4)="LVAX",LEFT(K4104,6)="MV15AX",LEFT(K4104,4)="CTAX",LEFT(K4104,2)="W|"),2*N4104*O4104,0)</f>
        <v/>
      </c>
      <c r="Z4104" s="12" t="inlineStr">
        <is>
          <t>device-to-JB field wiring, one cable per device</t>
        </is>
      </c>
      <c r="AA4104" s="12">
        <f>N4104*O4104</f>
        <v/>
      </c>
    </row>
    <row r="4105">
      <c r="A4105" s="12" t="inlineStr">
        <is>
          <t>H-I-0121</t>
        </is>
      </c>
      <c r="B4105" s="12" t="inlineStr">
        <is>
          <t>H</t>
        </is>
      </c>
      <c r="C4105" s="12" t="inlineStr">
        <is>
          <t>BESS</t>
        </is>
      </c>
      <c r="D4105" s="12" t="inlineStr">
        <is>
          <t>Home run JB-BESS container (IS-DI01 to the control / marshalling room</t>
        </is>
      </c>
      <c r="E4105" s="12" t="inlineStr"/>
      <c r="F4105" s="12" t="inlineStr">
        <is>
          <t>BESS EMS / SCADA and revenue metering</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PLTC|24 pr|18</t>
        </is>
      </c>
      <c r="L4105" s="12" t="inlineStr">
        <is>
          <t>24 pr</t>
        </is>
      </c>
      <c r="M4105" s="12" t="inlineStr">
        <is>
          <t>18</t>
        </is>
      </c>
      <c r="N4105" s="12" t="n">
        <v>1</v>
      </c>
      <c r="O4105" s="12" t="n">
        <v>1</v>
      </c>
      <c r="P4105" s="12" t="n"/>
      <c r="Q4105" s="12" t="n"/>
      <c r="R4105" s="12" t="n"/>
      <c r="S4105" s="12" t="inlineStr">
        <is>
          <t>Duct bank</t>
        </is>
      </c>
      <c r="T4105" s="15" t="n">
        <v>300</v>
      </c>
      <c r="U4105" s="15" t="n">
        <v>205</v>
      </c>
      <c r="V4105" s="15">
        <f>ROUNDUP((T4105+U4105+2*'Read Me'!$B$13)*(1+'Read Me'!$B$12),-1)</f>
        <v/>
      </c>
      <c r="W4105" s="15">
        <f>V4105*N4105*O4105</f>
        <v/>
      </c>
      <c r="X4105" s="12">
        <f>IF(LEFT(I4105,2)="MV",2*N4105*IF(L4105="1/C",O4105,1),0)</f>
        <v/>
      </c>
      <c r="Y4105" s="12">
        <f>IF(OR(LEFT(K4105,4)="LVAX",LEFT(K4105,6)="MV15AX",LEFT(K4105,4)="CTAX",LEFT(K4105,2)="W|"),2*N4105*O4105,0)</f>
        <v/>
      </c>
      <c r="Z4105" s="12" t="inlineStr"/>
      <c r="AA4105" s="12">
        <f>N4105*O4105</f>
        <v/>
      </c>
    </row>
    <row r="4106">
      <c r="A4106" s="12" t="inlineStr">
        <is>
          <t>H-I-0122</t>
        </is>
      </c>
      <c r="B4106" s="12" t="inlineStr">
        <is>
          <t>H</t>
        </is>
      </c>
      <c r="C4106" s="12" t="inlineStr">
        <is>
          <t>BESS</t>
        </is>
      </c>
      <c r="D4106" s="12" t="inlineStr">
        <is>
          <t>Discrete device to JB JB-BESS container (IS-DI01: 8 x 1 pr (field cables)</t>
        </is>
      </c>
      <c r="E4106" s="12" t="inlineStr"/>
      <c r="F4106" s="12" t="inlineStr">
        <is>
          <t>BESS container (ISO 40 ft high cube)</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PLTC|1 pr|16</t>
        </is>
      </c>
      <c r="L4106" s="12" t="inlineStr">
        <is>
          <t>1 pr</t>
        </is>
      </c>
      <c r="M4106" s="12" t="inlineStr">
        <is>
          <t>16</t>
        </is>
      </c>
      <c r="N4106" s="12" t="n">
        <v>8</v>
      </c>
      <c r="O4106" s="12" t="n">
        <v>1</v>
      </c>
      <c r="P4106" s="12" t="n"/>
      <c r="Q4106" s="12" t="n"/>
      <c r="R4106" s="12" t="n"/>
      <c r="S4106" s="12" t="inlineStr">
        <is>
          <t>Tray / conduit</t>
        </is>
      </c>
      <c r="T4106" s="15" t="n">
        <v>53</v>
      </c>
      <c r="U4106" s="15" t="n">
        <v>10</v>
      </c>
      <c r="V4106" s="15">
        <f>ROUNDUP((T4106+U4106+2*'Read Me'!$B$13)*(1+'Read Me'!$B$12),-1)</f>
        <v/>
      </c>
      <c r="W4106" s="15">
        <f>V4106*N4106*O4106</f>
        <v/>
      </c>
      <c r="X4106" s="12">
        <f>IF(LEFT(I4106,2)="MV",2*N4106*IF(L4106="1/C",O4106,1),0)</f>
        <v/>
      </c>
      <c r="Y4106" s="12">
        <f>IF(OR(LEFT(K4106,4)="LVAX",LEFT(K4106,6)="MV15AX",LEFT(K4106,4)="CTAX",LEFT(K4106,2)="W|"),2*N4106*O4106,0)</f>
        <v/>
      </c>
      <c r="Z4106" s="12" t="inlineStr">
        <is>
          <t>device-to-JB field wiring, one cable per device</t>
        </is>
      </c>
      <c r="AA4106" s="12">
        <f>N4106*O4106</f>
        <v/>
      </c>
    </row>
    <row r="4107">
      <c r="A4107" s="12" t="inlineStr">
        <is>
          <t>H-I-0123</t>
        </is>
      </c>
      <c r="B4107" s="12" t="inlineStr">
        <is>
          <t>H</t>
        </is>
      </c>
      <c r="C4107" s="12" t="inlineStr">
        <is>
          <t>BESS</t>
        </is>
      </c>
      <c r="D4107" s="12" t="inlineStr">
        <is>
          <t>Home run JB-BESS container (IS-DI01 to the control / marshalling room</t>
        </is>
      </c>
      <c r="E4107" s="12" t="inlineStr"/>
      <c r="F4107" s="12" t="inlineStr">
        <is>
          <t>BESS EMS / SCADA and revenue metering</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PLTC|24 pr|18</t>
        </is>
      </c>
      <c r="L4107" s="12" t="inlineStr">
        <is>
          <t>24 pr</t>
        </is>
      </c>
      <c r="M4107" s="12" t="inlineStr">
        <is>
          <t>18</t>
        </is>
      </c>
      <c r="N4107" s="12" t="n">
        <v>1</v>
      </c>
      <c r="O4107" s="12" t="n">
        <v>1</v>
      </c>
      <c r="P4107" s="12" t="n"/>
      <c r="Q4107" s="12" t="n"/>
      <c r="R4107" s="12" t="n"/>
      <c r="S4107" s="12" t="inlineStr">
        <is>
          <t>Duct bank</t>
        </is>
      </c>
      <c r="T4107" s="15" t="n">
        <v>300</v>
      </c>
      <c r="U4107" s="15" t="n">
        <v>205</v>
      </c>
      <c r="V4107" s="15">
        <f>ROUNDUP((T4107+U4107+2*'Read Me'!$B$13)*(1+'Read Me'!$B$12),-1)</f>
        <v/>
      </c>
      <c r="W4107" s="15">
        <f>V4107*N4107*O4107</f>
        <v/>
      </c>
      <c r="X4107" s="12">
        <f>IF(LEFT(I4107,2)="MV",2*N4107*IF(L4107="1/C",O4107,1),0)</f>
        <v/>
      </c>
      <c r="Y4107" s="12">
        <f>IF(OR(LEFT(K4107,4)="LVAX",LEFT(K4107,6)="MV15AX",LEFT(K4107,4)="CTAX",LEFT(K4107,2)="W|"),2*N4107*O4107,0)</f>
        <v/>
      </c>
      <c r="Z4107" s="12" t="inlineStr"/>
      <c r="AA4107" s="12">
        <f>N4107*O4107</f>
        <v/>
      </c>
    </row>
    <row r="4108">
      <c r="A4108" s="12" t="inlineStr">
        <is>
          <t>H-I-0124</t>
        </is>
      </c>
      <c r="B4108" s="12" t="inlineStr">
        <is>
          <t>H</t>
        </is>
      </c>
      <c r="C4108" s="12" t="inlineStr">
        <is>
          <t>BESS</t>
        </is>
      </c>
      <c r="D4108" s="12" t="inlineStr">
        <is>
          <t>Discrete device to JB JB-BESS container (IS-DI01: 8 x 1 pr (field cables)</t>
        </is>
      </c>
      <c r="E4108" s="12" t="inlineStr"/>
      <c r="F4108" s="12" t="inlineStr">
        <is>
          <t>BESS container (ISO 40 ft high cube)</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PLTC|1 pr|16</t>
        </is>
      </c>
      <c r="L4108" s="12" t="inlineStr">
        <is>
          <t>1 pr</t>
        </is>
      </c>
      <c r="M4108" s="12" t="inlineStr">
        <is>
          <t>16</t>
        </is>
      </c>
      <c r="N4108" s="12" t="n">
        <v>8</v>
      </c>
      <c r="O4108" s="12" t="n">
        <v>1</v>
      </c>
      <c r="P4108" s="12" t="n"/>
      <c r="Q4108" s="12" t="n"/>
      <c r="R4108" s="12" t="n"/>
      <c r="S4108" s="12" t="inlineStr">
        <is>
          <t>Tray / conduit</t>
        </is>
      </c>
      <c r="T4108" s="15" t="n">
        <v>53</v>
      </c>
      <c r="U4108" s="15" t="n">
        <v>10</v>
      </c>
      <c r="V4108" s="15">
        <f>ROUNDUP((T4108+U4108+2*'Read Me'!$B$13)*(1+'Read Me'!$B$12),-1)</f>
        <v/>
      </c>
      <c r="W4108" s="15">
        <f>V4108*N4108*O4108</f>
        <v/>
      </c>
      <c r="X4108" s="12">
        <f>IF(LEFT(I4108,2)="MV",2*N4108*IF(L4108="1/C",O4108,1),0)</f>
        <v/>
      </c>
      <c r="Y4108" s="12">
        <f>IF(OR(LEFT(K4108,4)="LVAX",LEFT(K4108,6)="MV15AX",LEFT(K4108,4)="CTAX",LEFT(K4108,2)="W|"),2*N4108*O4108,0)</f>
        <v/>
      </c>
      <c r="Z4108" s="12" t="inlineStr">
        <is>
          <t>device-to-JB field wiring, one cable per device</t>
        </is>
      </c>
      <c r="AA4108" s="12">
        <f>N4108*O4108</f>
        <v/>
      </c>
    </row>
    <row r="4109">
      <c r="A4109" s="12" t="inlineStr">
        <is>
          <t>H-I-0125</t>
        </is>
      </c>
      <c r="B4109" s="12" t="inlineStr">
        <is>
          <t>H</t>
        </is>
      </c>
      <c r="C4109" s="12" t="inlineStr">
        <is>
          <t>BESS</t>
        </is>
      </c>
      <c r="D4109" s="12" t="inlineStr">
        <is>
          <t>Home run JB-BESS container (IS-DI01 to the control / marshalling room</t>
        </is>
      </c>
      <c r="E4109" s="12" t="inlineStr"/>
      <c r="F4109" s="12" t="inlineStr">
        <is>
          <t>BESS EMS / SCADA and revenue metering</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PLTC|24 pr|18</t>
        </is>
      </c>
      <c r="L4109" s="12" t="inlineStr">
        <is>
          <t>24 pr</t>
        </is>
      </c>
      <c r="M4109" s="12" t="inlineStr">
        <is>
          <t>18</t>
        </is>
      </c>
      <c r="N4109" s="12" t="n">
        <v>1</v>
      </c>
      <c r="O4109" s="12" t="n">
        <v>1</v>
      </c>
      <c r="P4109" s="12" t="n"/>
      <c r="Q4109" s="12" t="n"/>
      <c r="R4109" s="12" t="n"/>
      <c r="S4109" s="12" t="inlineStr">
        <is>
          <t>Duct bank</t>
        </is>
      </c>
      <c r="T4109" s="15" t="n">
        <v>160</v>
      </c>
      <c r="U4109" s="15" t="n">
        <v>225</v>
      </c>
      <c r="V4109" s="15">
        <f>ROUNDUP((T4109+U4109+2*'Read Me'!$B$13)*(1+'Read Me'!$B$12),-1)</f>
        <v/>
      </c>
      <c r="W4109" s="15">
        <f>V4109*N4109*O4109</f>
        <v/>
      </c>
      <c r="X4109" s="12">
        <f>IF(LEFT(I4109,2)="MV",2*N4109*IF(L4109="1/C",O4109,1),0)</f>
        <v/>
      </c>
      <c r="Y4109" s="12">
        <f>IF(OR(LEFT(K4109,4)="LVAX",LEFT(K4109,6)="MV15AX",LEFT(K4109,4)="CTAX",LEFT(K4109,2)="W|"),2*N4109*O4109,0)</f>
        <v/>
      </c>
      <c r="Z4109" s="12" t="inlineStr"/>
      <c r="AA4109" s="12">
        <f>N4109*O4109</f>
        <v/>
      </c>
    </row>
    <row r="4110">
      <c r="A4110" s="12" t="inlineStr">
        <is>
          <t>H-I-0126</t>
        </is>
      </c>
      <c r="B4110" s="12" t="inlineStr">
        <is>
          <t>H</t>
        </is>
      </c>
      <c r="C4110" s="12" t="inlineStr">
        <is>
          <t>BESS</t>
        </is>
      </c>
      <c r="D4110" s="12" t="inlineStr">
        <is>
          <t>Discrete device to JB JB-BESS container (IS-DI01: 8 x 1 pr (field cables)</t>
        </is>
      </c>
      <c r="E4110" s="12" t="inlineStr"/>
      <c r="F4110" s="12" t="inlineStr">
        <is>
          <t>BESS container (ISO 40 ft high cube)</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PLTC|1 pr|16</t>
        </is>
      </c>
      <c r="L4110" s="12" t="inlineStr">
        <is>
          <t>1 pr</t>
        </is>
      </c>
      <c r="M4110" s="12" t="inlineStr">
        <is>
          <t>16</t>
        </is>
      </c>
      <c r="N4110" s="12" t="n">
        <v>8</v>
      </c>
      <c r="O4110" s="12" t="n">
        <v>1</v>
      </c>
      <c r="P4110" s="12" t="n"/>
      <c r="Q4110" s="12" t="n"/>
      <c r="R4110" s="12" t="n"/>
      <c r="S4110" s="12" t="inlineStr">
        <is>
          <t>Tray / conduit</t>
        </is>
      </c>
      <c r="T4110" s="15" t="n">
        <v>53</v>
      </c>
      <c r="U4110" s="15" t="n">
        <v>10</v>
      </c>
      <c r="V4110" s="15">
        <f>ROUNDUP((T4110+U4110+2*'Read Me'!$B$13)*(1+'Read Me'!$B$12),-1)</f>
        <v/>
      </c>
      <c r="W4110" s="15">
        <f>V4110*N4110*O4110</f>
        <v/>
      </c>
      <c r="X4110" s="12">
        <f>IF(LEFT(I4110,2)="MV",2*N4110*IF(L4110="1/C",O4110,1),0)</f>
        <v/>
      </c>
      <c r="Y4110" s="12">
        <f>IF(OR(LEFT(K4110,4)="LVAX",LEFT(K4110,6)="MV15AX",LEFT(K4110,4)="CTAX",LEFT(K4110,2)="W|"),2*N4110*O4110,0)</f>
        <v/>
      </c>
      <c r="Z4110" s="12" t="inlineStr">
        <is>
          <t>device-to-JB field wiring, one cable per device</t>
        </is>
      </c>
      <c r="AA4110" s="12">
        <f>N4110*O4110</f>
        <v/>
      </c>
    </row>
    <row r="4111">
      <c r="A4111" s="12" t="inlineStr">
        <is>
          <t>H-I-0127</t>
        </is>
      </c>
      <c r="B4111" s="12" t="inlineStr">
        <is>
          <t>H</t>
        </is>
      </c>
      <c r="C4111" s="12" t="inlineStr">
        <is>
          <t>BESS</t>
        </is>
      </c>
      <c r="D4111" s="12" t="inlineStr">
        <is>
          <t>Home run JB-BESS container (IS-DI01 to the control / marshalling room</t>
        </is>
      </c>
      <c r="E4111" s="12" t="inlineStr"/>
      <c r="F4111" s="12" t="inlineStr">
        <is>
          <t>BESS EMS / SCADA and revenue metering</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PLTC|24 pr|18</t>
        </is>
      </c>
      <c r="L4111" s="12" t="inlineStr">
        <is>
          <t>24 pr</t>
        </is>
      </c>
      <c r="M4111" s="12" t="inlineStr">
        <is>
          <t>18</t>
        </is>
      </c>
      <c r="N4111" s="12" t="n">
        <v>1</v>
      </c>
      <c r="O4111" s="12" t="n">
        <v>1</v>
      </c>
      <c r="P4111" s="12" t="n"/>
      <c r="Q4111" s="12" t="n"/>
      <c r="R4111" s="12" t="n"/>
      <c r="S4111" s="12" t="inlineStr">
        <is>
          <t>Duct bank</t>
        </is>
      </c>
      <c r="T4111" s="15" t="n">
        <v>160</v>
      </c>
      <c r="U4111" s="15" t="n">
        <v>225</v>
      </c>
      <c r="V4111" s="15">
        <f>ROUNDUP((T4111+U4111+2*'Read Me'!$B$13)*(1+'Read Me'!$B$12),-1)</f>
        <v/>
      </c>
      <c r="W4111" s="15">
        <f>V4111*N4111*O4111</f>
        <v/>
      </c>
      <c r="X4111" s="12">
        <f>IF(LEFT(I4111,2)="MV",2*N4111*IF(L4111="1/C",O4111,1),0)</f>
        <v/>
      </c>
      <c r="Y4111" s="12">
        <f>IF(OR(LEFT(K4111,4)="LVAX",LEFT(K4111,6)="MV15AX",LEFT(K4111,4)="CTAX",LEFT(K4111,2)="W|"),2*N4111*O4111,0)</f>
        <v/>
      </c>
      <c r="Z4111" s="12" t="inlineStr"/>
      <c r="AA4111" s="12">
        <f>N4111*O4111</f>
        <v/>
      </c>
    </row>
    <row r="4112">
      <c r="A4112" s="12" t="inlineStr">
        <is>
          <t>H-I-0128</t>
        </is>
      </c>
      <c r="B4112" s="12" t="inlineStr">
        <is>
          <t>H</t>
        </is>
      </c>
      <c r="C4112" s="12" t="inlineStr">
        <is>
          <t>BESS</t>
        </is>
      </c>
      <c r="D4112" s="12" t="inlineStr">
        <is>
          <t>Discrete device to JB JB-BESS container (IS-DI01: 8 x 1 pr (field cables)</t>
        </is>
      </c>
      <c r="E4112" s="12" t="inlineStr"/>
      <c r="F4112" s="12" t="inlineStr">
        <is>
          <t>BESS container (ISO 40 ft high cube)</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PLTC|1 pr|16</t>
        </is>
      </c>
      <c r="L4112" s="12" t="inlineStr">
        <is>
          <t>1 pr</t>
        </is>
      </c>
      <c r="M4112" s="12" t="inlineStr">
        <is>
          <t>16</t>
        </is>
      </c>
      <c r="N4112" s="12" t="n">
        <v>8</v>
      </c>
      <c r="O4112" s="12" t="n">
        <v>1</v>
      </c>
      <c r="P4112" s="12" t="n"/>
      <c r="Q4112" s="12" t="n"/>
      <c r="R4112" s="12" t="n"/>
      <c r="S4112" s="12" t="inlineStr">
        <is>
          <t>Tray / conduit</t>
        </is>
      </c>
      <c r="T4112" s="15" t="n">
        <v>53</v>
      </c>
      <c r="U4112" s="15" t="n">
        <v>10</v>
      </c>
      <c r="V4112" s="15">
        <f>ROUNDUP((T4112+U4112+2*'Read Me'!$B$13)*(1+'Read Me'!$B$12),-1)</f>
        <v/>
      </c>
      <c r="W4112" s="15">
        <f>V4112*N4112*O4112</f>
        <v/>
      </c>
      <c r="X4112" s="12">
        <f>IF(LEFT(I4112,2)="MV",2*N4112*IF(L4112="1/C",O4112,1),0)</f>
        <v/>
      </c>
      <c r="Y4112" s="12">
        <f>IF(OR(LEFT(K4112,4)="LVAX",LEFT(K4112,6)="MV15AX",LEFT(K4112,4)="CTAX",LEFT(K4112,2)="W|"),2*N4112*O4112,0)</f>
        <v/>
      </c>
      <c r="Z4112" s="12" t="inlineStr">
        <is>
          <t>device-to-JB field wiring, one cable per device</t>
        </is>
      </c>
      <c r="AA4112" s="12">
        <f>N4112*O4112</f>
        <v/>
      </c>
    </row>
    <row r="4113">
      <c r="A4113" s="12" t="inlineStr">
        <is>
          <t>H-I-0129</t>
        </is>
      </c>
      <c r="B4113" s="12" t="inlineStr">
        <is>
          <t>H</t>
        </is>
      </c>
      <c r="C4113" s="12" t="inlineStr">
        <is>
          <t>BESS</t>
        </is>
      </c>
      <c r="D4113" s="12" t="inlineStr">
        <is>
          <t>Home run JB-BESS container (IS-DI01 to the control / marshalling room</t>
        </is>
      </c>
      <c r="E4113" s="12" t="inlineStr"/>
      <c r="F4113" s="12" t="inlineStr">
        <is>
          <t>BESS EMS / SCADA and revenue metering</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PLTC|24 pr|18</t>
        </is>
      </c>
      <c r="L4113" s="12" t="inlineStr">
        <is>
          <t>24 pr</t>
        </is>
      </c>
      <c r="M4113" s="12" t="inlineStr">
        <is>
          <t>18</t>
        </is>
      </c>
      <c r="N4113" s="12" t="n">
        <v>1</v>
      </c>
      <c r="O4113" s="12" t="n">
        <v>1</v>
      </c>
      <c r="P4113" s="12" t="n"/>
      <c r="Q4113" s="12" t="n"/>
      <c r="R4113" s="12" t="n"/>
      <c r="S4113" s="12" t="inlineStr">
        <is>
          <t>Duct bank</t>
        </is>
      </c>
      <c r="T4113" s="15" t="n">
        <v>336</v>
      </c>
      <c r="U4113" s="15" t="n">
        <v>173</v>
      </c>
      <c r="V4113" s="15">
        <f>ROUNDUP((T4113+U4113+2*'Read Me'!$B$13)*(1+'Read Me'!$B$12),-1)</f>
        <v/>
      </c>
      <c r="W4113" s="15">
        <f>V4113*N4113*O4113</f>
        <v/>
      </c>
      <c r="X4113" s="12">
        <f>IF(LEFT(I4113,2)="MV",2*N4113*IF(L4113="1/C",O4113,1),0)</f>
        <v/>
      </c>
      <c r="Y4113" s="12">
        <f>IF(OR(LEFT(K4113,4)="LVAX",LEFT(K4113,6)="MV15AX",LEFT(K4113,4)="CTAX",LEFT(K4113,2)="W|"),2*N4113*O4113,0)</f>
        <v/>
      </c>
      <c r="Z4113" s="12" t="inlineStr"/>
      <c r="AA4113" s="12">
        <f>N4113*O4113</f>
        <v/>
      </c>
    </row>
    <row r="4114">
      <c r="A4114" s="12" t="inlineStr">
        <is>
          <t>H-I-0130</t>
        </is>
      </c>
      <c r="B4114" s="12" t="inlineStr">
        <is>
          <t>H</t>
        </is>
      </c>
      <c r="C4114" s="12" t="inlineStr">
        <is>
          <t>BESS</t>
        </is>
      </c>
      <c r="D4114" s="12" t="inlineStr">
        <is>
          <t>Discrete device to JB JB-BESS container (IS-DI01: 8 x 1 pr (field cables)</t>
        </is>
      </c>
      <c r="E4114" s="12" t="inlineStr"/>
      <c r="F4114" s="12" t="inlineStr">
        <is>
          <t>BESS container (ISO 40 ft high cube)</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PLTC|1 pr|16</t>
        </is>
      </c>
      <c r="L4114" s="12" t="inlineStr">
        <is>
          <t>1 pr</t>
        </is>
      </c>
      <c r="M4114" s="12" t="inlineStr">
        <is>
          <t>16</t>
        </is>
      </c>
      <c r="N4114" s="12" t="n">
        <v>8</v>
      </c>
      <c r="O4114" s="12" t="n">
        <v>1</v>
      </c>
      <c r="P4114" s="12" t="n"/>
      <c r="Q4114" s="12" t="n"/>
      <c r="R4114" s="12" t="n"/>
      <c r="S4114" s="12" t="inlineStr">
        <is>
          <t>Tray / conduit</t>
        </is>
      </c>
      <c r="T4114" s="15" t="n">
        <v>53</v>
      </c>
      <c r="U4114" s="15" t="n">
        <v>10</v>
      </c>
      <c r="V4114" s="15">
        <f>ROUNDUP((T4114+U4114+2*'Read Me'!$B$13)*(1+'Read Me'!$B$12),-1)</f>
        <v/>
      </c>
      <c r="W4114" s="15">
        <f>V4114*N4114*O4114</f>
        <v/>
      </c>
      <c r="X4114" s="12">
        <f>IF(LEFT(I4114,2)="MV",2*N4114*IF(L4114="1/C",O4114,1),0)</f>
        <v/>
      </c>
      <c r="Y4114" s="12">
        <f>IF(OR(LEFT(K4114,4)="LVAX",LEFT(K4114,6)="MV15AX",LEFT(K4114,4)="CTAX",LEFT(K4114,2)="W|"),2*N4114*O4114,0)</f>
        <v/>
      </c>
      <c r="Z4114" s="12" t="inlineStr">
        <is>
          <t>device-to-JB field wiring, one cable per device</t>
        </is>
      </c>
      <c r="AA4114" s="12">
        <f>N4114*O4114</f>
        <v/>
      </c>
    </row>
    <row r="4115">
      <c r="A4115" s="12" t="inlineStr">
        <is>
          <t>H-I-0131</t>
        </is>
      </c>
      <c r="B4115" s="12" t="inlineStr">
        <is>
          <t>H</t>
        </is>
      </c>
      <c r="C4115" s="12" t="inlineStr">
        <is>
          <t>BESS</t>
        </is>
      </c>
      <c r="D4115" s="12" t="inlineStr">
        <is>
          <t>Home run JB-BESS container (IS-DI01 to the control / marshalling room</t>
        </is>
      </c>
      <c r="E4115" s="12" t="inlineStr"/>
      <c r="F4115" s="12" t="inlineStr">
        <is>
          <t>BESS EMS / SCADA and revenue metering</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PLTC|24 pr|18</t>
        </is>
      </c>
      <c r="L4115" s="12" t="inlineStr">
        <is>
          <t>24 pr</t>
        </is>
      </c>
      <c r="M4115" s="12" t="inlineStr">
        <is>
          <t>18</t>
        </is>
      </c>
      <c r="N4115" s="12" t="n">
        <v>1</v>
      </c>
      <c r="O4115" s="12" t="n">
        <v>1</v>
      </c>
      <c r="P4115" s="12" t="n"/>
      <c r="Q4115" s="12" t="n"/>
      <c r="R4115" s="12" t="n"/>
      <c r="S4115" s="12" t="inlineStr">
        <is>
          <t>Duct bank</t>
        </is>
      </c>
      <c r="T4115" s="15" t="n">
        <v>1559</v>
      </c>
      <c r="U4115" s="15" t="n">
        <v>132</v>
      </c>
      <c r="V4115" s="15">
        <f>ROUNDUP((T4115+U4115+2*'Read Me'!$B$13)*(1+'Read Me'!$B$12),-1)</f>
        <v/>
      </c>
      <c r="W4115" s="15">
        <f>V4115*N4115*O4115</f>
        <v/>
      </c>
      <c r="X4115" s="12">
        <f>IF(LEFT(I4115,2)="MV",2*N4115*IF(L4115="1/C",O4115,1),0)</f>
        <v/>
      </c>
      <c r="Y4115" s="12">
        <f>IF(OR(LEFT(K4115,4)="LVAX",LEFT(K4115,6)="MV15AX",LEFT(K4115,4)="CTAX",LEFT(K4115,2)="W|"),2*N4115*O4115,0)</f>
        <v/>
      </c>
      <c r="Z4115" s="12" t="inlineStr"/>
      <c r="AA4115" s="12">
        <f>N4115*O4115</f>
        <v/>
      </c>
    </row>
    <row r="4116">
      <c r="A4116" s="12" t="inlineStr">
        <is>
          <t>H-I-0132</t>
        </is>
      </c>
      <c r="B4116" s="12" t="inlineStr">
        <is>
          <t>H</t>
        </is>
      </c>
      <c r="C4116" s="12" t="inlineStr">
        <is>
          <t>BESS</t>
        </is>
      </c>
      <c r="D4116" s="12" t="inlineStr">
        <is>
          <t>Discrete device to JB JB-BESS container (IS-DI01: 8 x 1 pr (field cables)</t>
        </is>
      </c>
      <c r="E4116" s="12" t="inlineStr"/>
      <c r="F4116" s="12" t="inlineStr">
        <is>
          <t>BESS container (ISO 40 ft high cube)</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PLTC|1 pr|16</t>
        </is>
      </c>
      <c r="L4116" s="12" t="inlineStr">
        <is>
          <t>1 pr</t>
        </is>
      </c>
      <c r="M4116" s="12" t="inlineStr">
        <is>
          <t>16</t>
        </is>
      </c>
      <c r="N4116" s="12" t="n">
        <v>8</v>
      </c>
      <c r="O4116" s="12" t="n">
        <v>1</v>
      </c>
      <c r="P4116" s="12" t="n"/>
      <c r="Q4116" s="12" t="n"/>
      <c r="R4116" s="12" t="n"/>
      <c r="S4116" s="12" t="inlineStr">
        <is>
          <t>Tray / conduit</t>
        </is>
      </c>
      <c r="T4116" s="15" t="n">
        <v>53</v>
      </c>
      <c r="U4116" s="15" t="n">
        <v>10</v>
      </c>
      <c r="V4116" s="15">
        <f>ROUNDUP((T4116+U4116+2*'Read Me'!$B$13)*(1+'Read Me'!$B$12),-1)</f>
        <v/>
      </c>
      <c r="W4116" s="15">
        <f>V4116*N4116*O4116</f>
        <v/>
      </c>
      <c r="X4116" s="12">
        <f>IF(LEFT(I4116,2)="MV",2*N4116*IF(L4116="1/C",O4116,1),0)</f>
        <v/>
      </c>
      <c r="Y4116" s="12">
        <f>IF(OR(LEFT(K4116,4)="LVAX",LEFT(K4116,6)="MV15AX",LEFT(K4116,4)="CTAX",LEFT(K4116,2)="W|"),2*N4116*O4116,0)</f>
        <v/>
      </c>
      <c r="Z4116" s="12" t="inlineStr">
        <is>
          <t>device-to-JB field wiring, one cable per device</t>
        </is>
      </c>
      <c r="AA4116" s="12">
        <f>N4116*O4116</f>
        <v/>
      </c>
    </row>
    <row r="4117">
      <c r="A4117" s="12" t="inlineStr">
        <is>
          <t>H-I-0133</t>
        </is>
      </c>
      <c r="B4117" s="12" t="inlineStr">
        <is>
          <t>H</t>
        </is>
      </c>
      <c r="C4117" s="12" t="inlineStr">
        <is>
          <t>BESS</t>
        </is>
      </c>
      <c r="D4117" s="12" t="inlineStr">
        <is>
          <t>Home run JB-BESS container (IS-DI01 to the control / marshalling room</t>
        </is>
      </c>
      <c r="E4117" s="12" t="inlineStr"/>
      <c r="F4117" s="12" t="inlineStr">
        <is>
          <t>BESS EMS / SCADA and revenue metering</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PLTC|24 pr|18</t>
        </is>
      </c>
      <c r="L4117" s="12" t="inlineStr">
        <is>
          <t>24 pr</t>
        </is>
      </c>
      <c r="M4117" s="12" t="inlineStr">
        <is>
          <t>18</t>
        </is>
      </c>
      <c r="N4117" s="12" t="n">
        <v>1</v>
      </c>
      <c r="O4117" s="12" t="n">
        <v>1</v>
      </c>
      <c r="P4117" s="12" t="n"/>
      <c r="Q4117" s="12" t="n"/>
      <c r="R4117" s="12" t="n"/>
      <c r="S4117" s="12" t="inlineStr">
        <is>
          <t>Duct bank</t>
        </is>
      </c>
      <c r="T4117" s="15" t="n">
        <v>340</v>
      </c>
      <c r="U4117" s="15" t="n">
        <v>253</v>
      </c>
      <c r="V4117" s="15">
        <f>ROUNDUP((T4117+U4117+2*'Read Me'!$B$13)*(1+'Read Me'!$B$12),-1)</f>
        <v/>
      </c>
      <c r="W4117" s="15">
        <f>V4117*N4117*O4117</f>
        <v/>
      </c>
      <c r="X4117" s="12">
        <f>IF(LEFT(I4117,2)="MV",2*N4117*IF(L4117="1/C",O4117,1),0)</f>
        <v/>
      </c>
      <c r="Y4117" s="12">
        <f>IF(OR(LEFT(K4117,4)="LVAX",LEFT(K4117,6)="MV15AX",LEFT(K4117,4)="CTAX",LEFT(K4117,2)="W|"),2*N4117*O4117,0)</f>
        <v/>
      </c>
      <c r="Z4117" s="12" t="inlineStr"/>
      <c r="AA4117" s="12">
        <f>N4117*O4117</f>
        <v/>
      </c>
    </row>
    <row r="4118">
      <c r="A4118" s="12" t="inlineStr">
        <is>
          <t>H-I-0134</t>
        </is>
      </c>
      <c r="B4118" s="12" t="inlineStr">
        <is>
          <t>H</t>
        </is>
      </c>
      <c r="C4118" s="12" t="inlineStr">
        <is>
          <t>BESS</t>
        </is>
      </c>
      <c r="D4118" s="12" t="inlineStr">
        <is>
          <t>Discrete device to JB JB-BESS container (IS-DI01: 8 x 1 pr (field cables)</t>
        </is>
      </c>
      <c r="E4118" s="12" t="inlineStr"/>
      <c r="F4118" s="12" t="inlineStr">
        <is>
          <t>BESS container (ISO 40 ft high cube)</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PLTC|1 pr|16</t>
        </is>
      </c>
      <c r="L4118" s="12" t="inlineStr">
        <is>
          <t>1 pr</t>
        </is>
      </c>
      <c r="M4118" s="12" t="inlineStr">
        <is>
          <t>16</t>
        </is>
      </c>
      <c r="N4118" s="12" t="n">
        <v>8</v>
      </c>
      <c r="O4118" s="12" t="n">
        <v>1</v>
      </c>
      <c r="P4118" s="12" t="n"/>
      <c r="Q4118" s="12" t="n"/>
      <c r="R4118" s="12" t="n"/>
      <c r="S4118" s="12" t="inlineStr">
        <is>
          <t>Tray / conduit</t>
        </is>
      </c>
      <c r="T4118" s="15" t="n">
        <v>53</v>
      </c>
      <c r="U4118" s="15" t="n">
        <v>10</v>
      </c>
      <c r="V4118" s="15">
        <f>ROUNDUP((T4118+U4118+2*'Read Me'!$B$13)*(1+'Read Me'!$B$12),-1)</f>
        <v/>
      </c>
      <c r="W4118" s="15">
        <f>V4118*N4118*O4118</f>
        <v/>
      </c>
      <c r="X4118" s="12">
        <f>IF(LEFT(I4118,2)="MV",2*N4118*IF(L4118="1/C",O4118,1),0)</f>
        <v/>
      </c>
      <c r="Y4118" s="12">
        <f>IF(OR(LEFT(K4118,4)="LVAX",LEFT(K4118,6)="MV15AX",LEFT(K4118,4)="CTAX",LEFT(K4118,2)="W|"),2*N4118*O4118,0)</f>
        <v/>
      </c>
      <c r="Z4118" s="12" t="inlineStr">
        <is>
          <t>device-to-JB field wiring, one cable per device</t>
        </is>
      </c>
      <c r="AA4118" s="12">
        <f>N4118*O4118</f>
        <v/>
      </c>
    </row>
    <row r="4119">
      <c r="A4119" s="12" t="inlineStr">
        <is>
          <t>H-I-0135</t>
        </is>
      </c>
      <c r="B4119" s="12" t="inlineStr">
        <is>
          <t>H</t>
        </is>
      </c>
      <c r="C4119" s="12" t="inlineStr">
        <is>
          <t>BESS</t>
        </is>
      </c>
      <c r="D4119" s="12" t="inlineStr">
        <is>
          <t>Home run JB-BESS container (IS-DI01 to the control / marshalling room</t>
        </is>
      </c>
      <c r="E4119" s="12" t="inlineStr"/>
      <c r="F4119" s="12" t="inlineStr">
        <is>
          <t>BESS EMS / SCADA and revenue metering</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PLTC|24 pr|18</t>
        </is>
      </c>
      <c r="L4119" s="12" t="inlineStr">
        <is>
          <t>24 pr</t>
        </is>
      </c>
      <c r="M4119" s="12" t="inlineStr">
        <is>
          <t>18</t>
        </is>
      </c>
      <c r="N4119" s="12" t="n">
        <v>1</v>
      </c>
      <c r="O4119" s="12" t="n">
        <v>1</v>
      </c>
      <c r="P4119" s="12" t="n"/>
      <c r="Q4119" s="12" t="n"/>
      <c r="R4119" s="12" t="n"/>
      <c r="S4119" s="12" t="inlineStr">
        <is>
          <t>Duct bank</t>
        </is>
      </c>
      <c r="T4119" s="15" t="n">
        <v>300</v>
      </c>
      <c r="U4119" s="15" t="n">
        <v>263</v>
      </c>
      <c r="V4119" s="15">
        <f>ROUNDUP((T4119+U4119+2*'Read Me'!$B$13)*(1+'Read Me'!$B$12),-1)</f>
        <v/>
      </c>
      <c r="W4119" s="15">
        <f>V4119*N4119*O4119</f>
        <v/>
      </c>
      <c r="X4119" s="12">
        <f>IF(LEFT(I4119,2)="MV",2*N4119*IF(L4119="1/C",O4119,1),0)</f>
        <v/>
      </c>
      <c r="Y4119" s="12">
        <f>IF(OR(LEFT(K4119,4)="LVAX",LEFT(K4119,6)="MV15AX",LEFT(K4119,4)="CTAX",LEFT(K4119,2)="W|"),2*N4119*O4119,0)</f>
        <v/>
      </c>
      <c r="Z4119" s="12" t="inlineStr"/>
      <c r="AA4119" s="12">
        <f>N4119*O4119</f>
        <v/>
      </c>
    </row>
    <row r="4120">
      <c r="A4120" s="12" t="inlineStr">
        <is>
          <t>H-I-0136</t>
        </is>
      </c>
      <c r="B4120" s="12" t="inlineStr">
        <is>
          <t>H</t>
        </is>
      </c>
      <c r="C4120" s="12" t="inlineStr">
        <is>
          <t>BESS</t>
        </is>
      </c>
      <c r="D4120" s="12" t="inlineStr">
        <is>
          <t>Discrete device to JB JB-BESS container (IS-DI01: 8 x 1 pr (field cables)</t>
        </is>
      </c>
      <c r="E4120" s="12" t="inlineStr"/>
      <c r="F4120" s="12" t="inlineStr">
        <is>
          <t>BESS container (ISO 40 ft high cube)</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PLTC|1 pr|16</t>
        </is>
      </c>
      <c r="L4120" s="12" t="inlineStr">
        <is>
          <t>1 pr</t>
        </is>
      </c>
      <c r="M4120" s="12" t="inlineStr">
        <is>
          <t>16</t>
        </is>
      </c>
      <c r="N4120" s="12" t="n">
        <v>8</v>
      </c>
      <c r="O4120" s="12" t="n">
        <v>1</v>
      </c>
      <c r="P4120" s="12" t="n"/>
      <c r="Q4120" s="12" t="n"/>
      <c r="R4120" s="12" t="n"/>
      <c r="S4120" s="12" t="inlineStr">
        <is>
          <t>Tray / conduit</t>
        </is>
      </c>
      <c r="T4120" s="15" t="n">
        <v>53</v>
      </c>
      <c r="U4120" s="15" t="n">
        <v>10</v>
      </c>
      <c r="V4120" s="15">
        <f>ROUNDUP((T4120+U4120+2*'Read Me'!$B$13)*(1+'Read Me'!$B$12),-1)</f>
        <v/>
      </c>
      <c r="W4120" s="15">
        <f>V4120*N4120*O4120</f>
        <v/>
      </c>
      <c r="X4120" s="12">
        <f>IF(LEFT(I4120,2)="MV",2*N4120*IF(L4120="1/C",O4120,1),0)</f>
        <v/>
      </c>
      <c r="Y4120" s="12">
        <f>IF(OR(LEFT(K4120,4)="LVAX",LEFT(K4120,6)="MV15AX",LEFT(K4120,4)="CTAX",LEFT(K4120,2)="W|"),2*N4120*O4120,0)</f>
        <v/>
      </c>
      <c r="Z4120" s="12" t="inlineStr">
        <is>
          <t>device-to-JB field wiring, one cable per device</t>
        </is>
      </c>
      <c r="AA4120" s="12">
        <f>N4120*O4120</f>
        <v/>
      </c>
    </row>
    <row r="4121">
      <c r="A4121" s="12" t="inlineStr">
        <is>
          <t>H-I-0137</t>
        </is>
      </c>
      <c r="B4121" s="12" t="inlineStr">
        <is>
          <t>H</t>
        </is>
      </c>
      <c r="C4121" s="12" t="inlineStr">
        <is>
          <t>BESS</t>
        </is>
      </c>
      <c r="D4121" s="12" t="inlineStr">
        <is>
          <t>Home run JB-BESS container (IS-DI01 to the control / marshalling room</t>
        </is>
      </c>
      <c r="E4121" s="12" t="inlineStr"/>
      <c r="F4121" s="12" t="inlineStr">
        <is>
          <t>BESS EMS / SCADA and revenue metering</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PLTC|24 pr|18</t>
        </is>
      </c>
      <c r="L4121" s="12" t="inlineStr">
        <is>
          <t>24 pr</t>
        </is>
      </c>
      <c r="M4121" s="12" t="inlineStr">
        <is>
          <t>18</t>
        </is>
      </c>
      <c r="N4121" s="12" t="n">
        <v>1</v>
      </c>
      <c r="O4121" s="12" t="n">
        <v>1</v>
      </c>
      <c r="P4121" s="12" t="n"/>
      <c r="Q4121" s="12" t="n"/>
      <c r="R4121" s="12" t="n"/>
      <c r="S4121" s="12" t="inlineStr">
        <is>
          <t>Duct bank</t>
        </is>
      </c>
      <c r="T4121" s="15" t="n">
        <v>160</v>
      </c>
      <c r="U4121" s="15" t="n">
        <v>283</v>
      </c>
      <c r="V4121" s="15">
        <f>ROUNDUP((T4121+U4121+2*'Read Me'!$B$13)*(1+'Read Me'!$B$12),-1)</f>
        <v/>
      </c>
      <c r="W4121" s="15">
        <f>V4121*N4121*O4121</f>
        <v/>
      </c>
      <c r="X4121" s="12">
        <f>IF(LEFT(I4121,2)="MV",2*N4121*IF(L4121="1/C",O4121,1),0)</f>
        <v/>
      </c>
      <c r="Y4121" s="12">
        <f>IF(OR(LEFT(K4121,4)="LVAX",LEFT(K4121,6)="MV15AX",LEFT(K4121,4)="CTAX",LEFT(K4121,2)="W|"),2*N4121*O4121,0)</f>
        <v/>
      </c>
      <c r="Z4121" s="12" t="inlineStr"/>
      <c r="AA4121" s="12">
        <f>N4121*O4121</f>
        <v/>
      </c>
    </row>
    <row r="4122">
      <c r="A4122" s="12" t="inlineStr">
        <is>
          <t>H-I-0138</t>
        </is>
      </c>
      <c r="B4122" s="12" t="inlineStr">
        <is>
          <t>H</t>
        </is>
      </c>
      <c r="C4122" s="12" t="inlineStr">
        <is>
          <t>BESS</t>
        </is>
      </c>
      <c r="D4122" s="12" t="inlineStr">
        <is>
          <t>Discrete device to JB JB-BESS container (IS-DI01: 8 x 1 pr (field cables)</t>
        </is>
      </c>
      <c r="E4122" s="12" t="inlineStr"/>
      <c r="F4122" s="12" t="inlineStr">
        <is>
          <t>BESS container (ISO 40 ft high cube)</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PLTC|1 pr|16</t>
        </is>
      </c>
      <c r="L4122" s="12" t="inlineStr">
        <is>
          <t>1 pr</t>
        </is>
      </c>
      <c r="M4122" s="12" t="inlineStr">
        <is>
          <t>16</t>
        </is>
      </c>
      <c r="N4122" s="12" t="n">
        <v>8</v>
      </c>
      <c r="O4122" s="12" t="n">
        <v>1</v>
      </c>
      <c r="P4122" s="12" t="n"/>
      <c r="Q4122" s="12" t="n"/>
      <c r="R4122" s="12" t="n"/>
      <c r="S4122" s="12" t="inlineStr">
        <is>
          <t>Tray / conduit</t>
        </is>
      </c>
      <c r="T4122" s="15" t="n">
        <v>53</v>
      </c>
      <c r="U4122" s="15" t="n">
        <v>10</v>
      </c>
      <c r="V4122" s="15">
        <f>ROUNDUP((T4122+U4122+2*'Read Me'!$B$13)*(1+'Read Me'!$B$12),-1)</f>
        <v/>
      </c>
      <c r="W4122" s="15">
        <f>V4122*N4122*O4122</f>
        <v/>
      </c>
      <c r="X4122" s="12">
        <f>IF(LEFT(I4122,2)="MV",2*N4122*IF(L4122="1/C",O4122,1),0)</f>
        <v/>
      </c>
      <c r="Y4122" s="12">
        <f>IF(OR(LEFT(K4122,4)="LVAX",LEFT(K4122,6)="MV15AX",LEFT(K4122,4)="CTAX",LEFT(K4122,2)="W|"),2*N4122*O4122,0)</f>
        <v/>
      </c>
      <c r="Z4122" s="12" t="inlineStr">
        <is>
          <t>device-to-JB field wiring, one cable per device</t>
        </is>
      </c>
      <c r="AA4122" s="12">
        <f>N4122*O4122</f>
        <v/>
      </c>
    </row>
    <row r="4123">
      <c r="A4123" s="12" t="inlineStr">
        <is>
          <t>H-I-0139</t>
        </is>
      </c>
      <c r="B4123" s="12" t="inlineStr">
        <is>
          <t>H</t>
        </is>
      </c>
      <c r="C4123" s="12" t="inlineStr">
        <is>
          <t>BESS</t>
        </is>
      </c>
      <c r="D4123" s="12" t="inlineStr">
        <is>
          <t>Home run JB-BESS container (IS-DI01 to the control / marshalling room</t>
        </is>
      </c>
      <c r="E4123" s="12" t="inlineStr"/>
      <c r="F4123" s="12" t="inlineStr">
        <is>
          <t>BESS EMS / SCADA and revenue metering</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PLTC|24 pr|18</t>
        </is>
      </c>
      <c r="L4123" s="12" t="inlineStr">
        <is>
          <t>24 pr</t>
        </is>
      </c>
      <c r="M4123" s="12" t="inlineStr">
        <is>
          <t>18</t>
        </is>
      </c>
      <c r="N4123" s="12" t="n">
        <v>1</v>
      </c>
      <c r="O4123" s="12" t="n">
        <v>1</v>
      </c>
      <c r="P4123" s="12" t="n"/>
      <c r="Q4123" s="12" t="n"/>
      <c r="R4123" s="12" t="n"/>
      <c r="S4123" s="12" t="inlineStr">
        <is>
          <t>Duct bank</t>
        </is>
      </c>
      <c r="T4123" s="15" t="n">
        <v>336</v>
      </c>
      <c r="U4123" s="15" t="n">
        <v>175</v>
      </c>
      <c r="V4123" s="15">
        <f>ROUNDUP((T4123+U4123+2*'Read Me'!$B$13)*(1+'Read Me'!$B$12),-1)</f>
        <v/>
      </c>
      <c r="W4123" s="15">
        <f>V4123*N4123*O4123</f>
        <v/>
      </c>
      <c r="X4123" s="12">
        <f>IF(LEFT(I4123,2)="MV",2*N4123*IF(L4123="1/C",O4123,1),0)</f>
        <v/>
      </c>
      <c r="Y4123" s="12">
        <f>IF(OR(LEFT(K4123,4)="LVAX",LEFT(K4123,6)="MV15AX",LEFT(K4123,4)="CTAX",LEFT(K4123,2)="W|"),2*N4123*O4123,0)</f>
        <v/>
      </c>
      <c r="Z4123" s="12" t="inlineStr"/>
      <c r="AA4123" s="12">
        <f>N4123*O4123</f>
        <v/>
      </c>
    </row>
    <row r="4124">
      <c r="A4124" s="12" t="inlineStr">
        <is>
          <t>H-I-0140</t>
        </is>
      </c>
      <c r="B4124" s="12" t="inlineStr">
        <is>
          <t>H</t>
        </is>
      </c>
      <c r="C4124" s="12" t="inlineStr">
        <is>
          <t>BESS</t>
        </is>
      </c>
      <c r="D4124" s="12" t="inlineStr">
        <is>
          <t>Discrete device to JB JB-BESS container (IS-DI01: 8 x 1 pr (field cables)</t>
        </is>
      </c>
      <c r="E4124" s="12" t="inlineStr"/>
      <c r="F4124" s="12" t="inlineStr">
        <is>
          <t>BESS container (ISO 40 ft high cube)</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PLTC|1 pr|16</t>
        </is>
      </c>
      <c r="L4124" s="12" t="inlineStr">
        <is>
          <t>1 pr</t>
        </is>
      </c>
      <c r="M4124" s="12" t="inlineStr">
        <is>
          <t>16</t>
        </is>
      </c>
      <c r="N4124" s="12" t="n">
        <v>8</v>
      </c>
      <c r="O4124" s="12" t="n">
        <v>1</v>
      </c>
      <c r="P4124" s="12" t="n"/>
      <c r="Q4124" s="12" t="n"/>
      <c r="R4124" s="12" t="n"/>
      <c r="S4124" s="12" t="inlineStr">
        <is>
          <t>Tray / conduit</t>
        </is>
      </c>
      <c r="T4124" s="15" t="n">
        <v>53</v>
      </c>
      <c r="U4124" s="15" t="n">
        <v>10</v>
      </c>
      <c r="V4124" s="15">
        <f>ROUNDUP((T4124+U4124+2*'Read Me'!$B$13)*(1+'Read Me'!$B$12),-1)</f>
        <v/>
      </c>
      <c r="W4124" s="15">
        <f>V4124*N4124*O4124</f>
        <v/>
      </c>
      <c r="X4124" s="12">
        <f>IF(LEFT(I4124,2)="MV",2*N4124*IF(L4124="1/C",O4124,1),0)</f>
        <v/>
      </c>
      <c r="Y4124" s="12">
        <f>IF(OR(LEFT(K4124,4)="LVAX",LEFT(K4124,6)="MV15AX",LEFT(K4124,4)="CTAX",LEFT(K4124,2)="W|"),2*N4124*O4124,0)</f>
        <v/>
      </c>
      <c r="Z4124" s="12" t="inlineStr">
        <is>
          <t>device-to-JB field wiring, one cable per device</t>
        </is>
      </c>
      <c r="AA4124" s="12">
        <f>N4124*O4124</f>
        <v/>
      </c>
    </row>
    <row r="4125">
      <c r="A4125" s="12" t="inlineStr">
        <is>
          <t>H-I-0141</t>
        </is>
      </c>
      <c r="B4125" s="12" t="inlineStr">
        <is>
          <t>H</t>
        </is>
      </c>
      <c r="C4125" s="12" t="inlineStr">
        <is>
          <t>BESS</t>
        </is>
      </c>
      <c r="D4125" s="12" t="inlineStr">
        <is>
          <t>Home run JB-BESS container (IS-DI01 to the control / marshalling room</t>
        </is>
      </c>
      <c r="E4125" s="12" t="inlineStr"/>
      <c r="F4125" s="12" t="inlineStr">
        <is>
          <t>BESS EMS / SCADA and revenue metering</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PLTC|24 pr|18</t>
        </is>
      </c>
      <c r="L4125" s="12" t="inlineStr">
        <is>
          <t>24 pr</t>
        </is>
      </c>
      <c r="M4125" s="12" t="inlineStr">
        <is>
          <t>18</t>
        </is>
      </c>
      <c r="N4125" s="12" t="n">
        <v>1</v>
      </c>
      <c r="O4125" s="12" t="n">
        <v>1</v>
      </c>
      <c r="P4125" s="12" t="n"/>
      <c r="Q4125" s="12" t="n"/>
      <c r="R4125" s="12" t="n"/>
      <c r="S4125" s="12" t="inlineStr">
        <is>
          <t>Duct bank</t>
        </is>
      </c>
      <c r="T4125" s="15" t="n">
        <v>336</v>
      </c>
      <c r="U4125" s="15" t="n">
        <v>115</v>
      </c>
      <c r="V4125" s="15">
        <f>ROUNDUP((T4125+U4125+2*'Read Me'!$B$13)*(1+'Read Me'!$B$12),-1)</f>
        <v/>
      </c>
      <c r="W4125" s="15">
        <f>V4125*N4125*O4125</f>
        <v/>
      </c>
      <c r="X4125" s="12">
        <f>IF(LEFT(I4125,2)="MV",2*N4125*IF(L4125="1/C",O4125,1),0)</f>
        <v/>
      </c>
      <c r="Y4125" s="12">
        <f>IF(OR(LEFT(K4125,4)="LVAX",LEFT(K4125,6)="MV15AX",LEFT(K4125,4)="CTAX",LEFT(K4125,2)="W|"),2*N4125*O4125,0)</f>
        <v/>
      </c>
      <c r="Z4125" s="12" t="inlineStr"/>
      <c r="AA4125" s="12">
        <f>N4125*O4125</f>
        <v/>
      </c>
    </row>
    <row r="4126">
      <c r="A4126" s="12" t="inlineStr">
        <is>
          <t>H-I-0142</t>
        </is>
      </c>
      <c r="B4126" s="12" t="inlineStr">
        <is>
          <t>H</t>
        </is>
      </c>
      <c r="C4126" s="12" t="inlineStr">
        <is>
          <t>BESS</t>
        </is>
      </c>
      <c r="D4126" s="12" t="inlineStr">
        <is>
          <t>Discrete device to JB JB-BESS container (IS-DI01: 8 x 1 pr (field cables)</t>
        </is>
      </c>
      <c r="E4126" s="12" t="inlineStr"/>
      <c r="F4126" s="12" t="inlineStr">
        <is>
          <t>BESS container (ISO 40 ft high cube)</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PLTC|1 pr|16</t>
        </is>
      </c>
      <c r="L4126" s="12" t="inlineStr">
        <is>
          <t>1 pr</t>
        </is>
      </c>
      <c r="M4126" s="12" t="inlineStr">
        <is>
          <t>16</t>
        </is>
      </c>
      <c r="N4126" s="12" t="n">
        <v>8</v>
      </c>
      <c r="O4126" s="12" t="n">
        <v>1</v>
      </c>
      <c r="P4126" s="12" t="n"/>
      <c r="Q4126" s="12" t="n"/>
      <c r="R4126" s="12" t="n"/>
      <c r="S4126" s="12" t="inlineStr">
        <is>
          <t>Tray / conduit</t>
        </is>
      </c>
      <c r="T4126" s="15" t="n">
        <v>53</v>
      </c>
      <c r="U4126" s="15" t="n">
        <v>10</v>
      </c>
      <c r="V4126" s="15">
        <f>ROUNDUP((T4126+U4126+2*'Read Me'!$B$13)*(1+'Read Me'!$B$12),-1)</f>
        <v/>
      </c>
      <c r="W4126" s="15">
        <f>V4126*N4126*O4126</f>
        <v/>
      </c>
      <c r="X4126" s="12">
        <f>IF(LEFT(I4126,2)="MV",2*N4126*IF(L4126="1/C",O4126,1),0)</f>
        <v/>
      </c>
      <c r="Y4126" s="12">
        <f>IF(OR(LEFT(K4126,4)="LVAX",LEFT(K4126,6)="MV15AX",LEFT(K4126,4)="CTAX",LEFT(K4126,2)="W|"),2*N4126*O4126,0)</f>
        <v/>
      </c>
      <c r="Z4126" s="12" t="inlineStr">
        <is>
          <t>device-to-JB field wiring, one cable per device</t>
        </is>
      </c>
      <c r="AA4126" s="12">
        <f>N4126*O4126</f>
        <v/>
      </c>
    </row>
    <row r="4127">
      <c r="A4127" s="12" t="inlineStr">
        <is>
          <t>H-I-0143</t>
        </is>
      </c>
      <c r="B4127" s="12" t="inlineStr">
        <is>
          <t>H</t>
        </is>
      </c>
      <c r="C4127" s="12" t="inlineStr">
        <is>
          <t>BESS</t>
        </is>
      </c>
      <c r="D4127" s="12" t="inlineStr">
        <is>
          <t>Home run JB-BESS container (IS-DI01 to the control / marshalling room</t>
        </is>
      </c>
      <c r="E4127" s="12" t="inlineStr"/>
      <c r="F4127" s="12" t="inlineStr">
        <is>
          <t>BESS EMS / SCADA and revenue metering</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PLTC|24 pr|18</t>
        </is>
      </c>
      <c r="L4127" s="12" t="inlineStr">
        <is>
          <t>24 pr</t>
        </is>
      </c>
      <c r="M4127" s="12" t="inlineStr">
        <is>
          <t>18</t>
        </is>
      </c>
      <c r="N4127" s="12" t="n">
        <v>1</v>
      </c>
      <c r="O4127" s="12" t="n">
        <v>1</v>
      </c>
      <c r="P4127" s="12" t="n"/>
      <c r="Q4127" s="12" t="n"/>
      <c r="R4127" s="12" t="n"/>
      <c r="S4127" s="12" t="inlineStr">
        <is>
          <t>Duct bank</t>
        </is>
      </c>
      <c r="T4127" s="15" t="n">
        <v>336</v>
      </c>
      <c r="U4127" s="15" t="n">
        <v>115</v>
      </c>
      <c r="V4127" s="15">
        <f>ROUNDUP((T4127+U4127+2*'Read Me'!$B$13)*(1+'Read Me'!$B$12),-1)</f>
        <v/>
      </c>
      <c r="W4127" s="15">
        <f>V4127*N4127*O4127</f>
        <v/>
      </c>
      <c r="X4127" s="12">
        <f>IF(LEFT(I4127,2)="MV",2*N4127*IF(L4127="1/C",O4127,1),0)</f>
        <v/>
      </c>
      <c r="Y4127" s="12">
        <f>IF(OR(LEFT(K4127,4)="LVAX",LEFT(K4127,6)="MV15AX",LEFT(K4127,4)="CTAX",LEFT(K4127,2)="W|"),2*N4127*O4127,0)</f>
        <v/>
      </c>
      <c r="Z4127" s="12" t="inlineStr"/>
      <c r="AA4127" s="12">
        <f>N4127*O4127</f>
        <v/>
      </c>
    </row>
    <row r="4128">
      <c r="A4128" s="12" t="inlineStr">
        <is>
          <t>H-I-0144</t>
        </is>
      </c>
      <c r="B4128" s="12" t="inlineStr">
        <is>
          <t>H</t>
        </is>
      </c>
      <c r="C4128" s="12" t="inlineStr">
        <is>
          <t>BESS</t>
        </is>
      </c>
      <c r="D4128" s="12" t="inlineStr">
        <is>
          <t>Discrete device to JB JB-BESS container (IS-DI01: 8 x 1 pr (field cables)</t>
        </is>
      </c>
      <c r="E4128" s="12" t="inlineStr"/>
      <c r="F4128" s="12" t="inlineStr">
        <is>
          <t>BESS container (ISO 40 ft high cube)</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PLTC|1 pr|16</t>
        </is>
      </c>
      <c r="L4128" s="12" t="inlineStr">
        <is>
          <t>1 pr</t>
        </is>
      </c>
      <c r="M4128" s="12" t="inlineStr">
        <is>
          <t>16</t>
        </is>
      </c>
      <c r="N4128" s="12" t="n">
        <v>8</v>
      </c>
      <c r="O4128" s="12" t="n">
        <v>1</v>
      </c>
      <c r="P4128" s="12" t="n"/>
      <c r="Q4128" s="12" t="n"/>
      <c r="R4128" s="12" t="n"/>
      <c r="S4128" s="12" t="inlineStr">
        <is>
          <t>Tray / conduit</t>
        </is>
      </c>
      <c r="T4128" s="15" t="n">
        <v>53</v>
      </c>
      <c r="U4128" s="15" t="n">
        <v>10</v>
      </c>
      <c r="V4128" s="15">
        <f>ROUNDUP((T4128+U4128+2*'Read Me'!$B$13)*(1+'Read Me'!$B$12),-1)</f>
        <v/>
      </c>
      <c r="W4128" s="15">
        <f>V4128*N4128*O4128</f>
        <v/>
      </c>
      <c r="X4128" s="12">
        <f>IF(LEFT(I4128,2)="MV",2*N4128*IF(L4128="1/C",O4128,1),0)</f>
        <v/>
      </c>
      <c r="Y4128" s="12">
        <f>IF(OR(LEFT(K4128,4)="LVAX",LEFT(K4128,6)="MV15AX",LEFT(K4128,4)="CTAX",LEFT(K4128,2)="W|"),2*N4128*O4128,0)</f>
        <v/>
      </c>
      <c r="Z4128" s="12" t="inlineStr">
        <is>
          <t>device-to-JB field wiring, one cable per device</t>
        </is>
      </c>
      <c r="AA4128" s="12">
        <f>N4128*O4128</f>
        <v/>
      </c>
    </row>
    <row r="4129">
      <c r="A4129" s="12" t="inlineStr">
        <is>
          <t>H-I-0145</t>
        </is>
      </c>
      <c r="B4129" s="12" t="inlineStr">
        <is>
          <t>H</t>
        </is>
      </c>
      <c r="C4129" s="12" t="inlineStr">
        <is>
          <t>BESS</t>
        </is>
      </c>
      <c r="D4129" s="12" t="inlineStr">
        <is>
          <t>Home run JB-BESS container (IS-DI01 to the control / marshalling room</t>
        </is>
      </c>
      <c r="E4129" s="12" t="inlineStr"/>
      <c r="F4129" s="12" t="inlineStr">
        <is>
          <t>BESS EMS / SCADA and revenue metering</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PLTC|24 pr|18</t>
        </is>
      </c>
      <c r="L4129" s="12" t="inlineStr">
        <is>
          <t>24 pr</t>
        </is>
      </c>
      <c r="M4129" s="12" t="inlineStr">
        <is>
          <t>18</t>
        </is>
      </c>
      <c r="N4129" s="12" t="n">
        <v>1</v>
      </c>
      <c r="O4129" s="12" t="n">
        <v>1</v>
      </c>
      <c r="P4129" s="12" t="n"/>
      <c r="Q4129" s="12" t="n"/>
      <c r="R4129" s="12" t="n"/>
      <c r="S4129" s="12" t="inlineStr">
        <is>
          <t>Duct bank</t>
        </is>
      </c>
      <c r="T4129" s="15" t="n">
        <v>602</v>
      </c>
      <c r="U4129" s="15" t="n">
        <v>57</v>
      </c>
      <c r="V4129" s="15">
        <f>ROUNDUP((T4129+U4129+2*'Read Me'!$B$13)*(1+'Read Me'!$B$12),-1)</f>
        <v/>
      </c>
      <c r="W4129" s="15">
        <f>V4129*N4129*O4129</f>
        <v/>
      </c>
      <c r="X4129" s="12">
        <f>IF(LEFT(I4129,2)="MV",2*N4129*IF(L4129="1/C",O4129,1),0)</f>
        <v/>
      </c>
      <c r="Y4129" s="12">
        <f>IF(OR(LEFT(K4129,4)="LVAX",LEFT(K4129,6)="MV15AX",LEFT(K4129,4)="CTAX",LEFT(K4129,2)="W|"),2*N4129*O4129,0)</f>
        <v/>
      </c>
      <c r="Z4129" s="12" t="inlineStr"/>
      <c r="AA4129" s="12">
        <f>N4129*O4129</f>
        <v/>
      </c>
    </row>
    <row r="4130">
      <c r="A4130" s="12" t="inlineStr">
        <is>
          <t>H-I-0146</t>
        </is>
      </c>
      <c r="B4130" s="12" t="inlineStr">
        <is>
          <t>H</t>
        </is>
      </c>
      <c r="C4130" s="12" t="inlineStr">
        <is>
          <t>BESS</t>
        </is>
      </c>
      <c r="D4130" s="12" t="inlineStr">
        <is>
          <t>Discrete device to JB JB-BESS container (IS-DI01: 8 x 1 pr (field cables)</t>
        </is>
      </c>
      <c r="E4130" s="12" t="inlineStr"/>
      <c r="F4130" s="12" t="inlineStr">
        <is>
          <t>BESS container (ISO 40 ft high cube)</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PLTC|1 pr|16</t>
        </is>
      </c>
      <c r="L4130" s="12" t="inlineStr">
        <is>
          <t>1 pr</t>
        </is>
      </c>
      <c r="M4130" s="12" t="inlineStr">
        <is>
          <t>16</t>
        </is>
      </c>
      <c r="N4130" s="12" t="n">
        <v>8</v>
      </c>
      <c r="O4130" s="12" t="n">
        <v>1</v>
      </c>
      <c r="P4130" s="12" t="n"/>
      <c r="Q4130" s="12" t="n"/>
      <c r="R4130" s="12" t="n"/>
      <c r="S4130" s="12" t="inlineStr">
        <is>
          <t>Tray / conduit</t>
        </is>
      </c>
      <c r="T4130" s="15" t="n">
        <v>53</v>
      </c>
      <c r="U4130" s="15" t="n">
        <v>10</v>
      </c>
      <c r="V4130" s="15">
        <f>ROUNDUP((T4130+U4130+2*'Read Me'!$B$13)*(1+'Read Me'!$B$12),-1)</f>
        <v/>
      </c>
      <c r="W4130" s="15">
        <f>V4130*N4130*O4130</f>
        <v/>
      </c>
      <c r="X4130" s="12">
        <f>IF(LEFT(I4130,2)="MV",2*N4130*IF(L4130="1/C",O4130,1),0)</f>
        <v/>
      </c>
      <c r="Y4130" s="12">
        <f>IF(OR(LEFT(K4130,4)="LVAX",LEFT(K4130,6)="MV15AX",LEFT(K4130,4)="CTAX",LEFT(K4130,2)="W|"),2*N4130*O4130,0)</f>
        <v/>
      </c>
      <c r="Z4130" s="12" t="inlineStr">
        <is>
          <t>device-to-JB field wiring, one cable per device</t>
        </is>
      </c>
      <c r="AA4130" s="12">
        <f>N4130*O4130</f>
        <v/>
      </c>
    </row>
    <row r="4131">
      <c r="A4131" s="12" t="inlineStr">
        <is>
          <t>H-I-0147</t>
        </is>
      </c>
      <c r="B4131" s="12" t="inlineStr">
        <is>
          <t>H</t>
        </is>
      </c>
      <c r="C4131" s="12" t="inlineStr">
        <is>
          <t>BESS</t>
        </is>
      </c>
      <c r="D4131" s="12" t="inlineStr">
        <is>
          <t>Home run JB-BESS container (IS-DI01 to the control / marshalling room</t>
        </is>
      </c>
      <c r="E4131" s="12" t="inlineStr"/>
      <c r="F4131" s="12" t="inlineStr">
        <is>
          <t>BESS EMS / SCADA and revenue metering</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PLTC|24 pr|18</t>
        </is>
      </c>
      <c r="L4131" s="12" t="inlineStr">
        <is>
          <t>24 pr</t>
        </is>
      </c>
      <c r="M4131" s="12" t="inlineStr">
        <is>
          <t>18</t>
        </is>
      </c>
      <c r="N4131" s="12" t="n">
        <v>1</v>
      </c>
      <c r="O4131" s="12" t="n">
        <v>1</v>
      </c>
      <c r="P4131" s="12" t="n"/>
      <c r="Q4131" s="12" t="n"/>
      <c r="R4131" s="12" t="n"/>
      <c r="S4131" s="12" t="inlineStr">
        <is>
          <t>Duct bank</t>
        </is>
      </c>
      <c r="T4131" s="15" t="n">
        <v>482</v>
      </c>
      <c r="U4131" s="15" t="n">
        <v>117</v>
      </c>
      <c r="V4131" s="15">
        <f>ROUNDUP((T4131+U4131+2*'Read Me'!$B$13)*(1+'Read Me'!$B$12),-1)</f>
        <v/>
      </c>
      <c r="W4131" s="15">
        <f>V4131*N4131*O4131</f>
        <v/>
      </c>
      <c r="X4131" s="12">
        <f>IF(LEFT(I4131,2)="MV",2*N4131*IF(L4131="1/C",O4131,1),0)</f>
        <v/>
      </c>
      <c r="Y4131" s="12">
        <f>IF(OR(LEFT(K4131,4)="LVAX",LEFT(K4131,6)="MV15AX",LEFT(K4131,4)="CTAX",LEFT(K4131,2)="W|"),2*N4131*O4131,0)</f>
        <v/>
      </c>
      <c r="Z4131" s="12" t="inlineStr"/>
      <c r="AA4131" s="12">
        <f>N4131*O4131</f>
        <v/>
      </c>
    </row>
    <row r="4132">
      <c r="A4132" s="12" t="inlineStr">
        <is>
          <t>H-I-0148</t>
        </is>
      </c>
      <c r="B4132" s="12" t="inlineStr">
        <is>
          <t>H</t>
        </is>
      </c>
      <c r="C4132" s="12" t="inlineStr">
        <is>
          <t>BESS</t>
        </is>
      </c>
      <c r="D4132" s="12" t="inlineStr">
        <is>
          <t>Discrete device to JB JB-BESS container (IS-DI01: 8 x 1 pr (field cables)</t>
        </is>
      </c>
      <c r="E4132" s="12" t="inlineStr"/>
      <c r="F4132" s="12" t="inlineStr">
        <is>
          <t>BESS container (ISO 40 ft high cube)</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PLTC|1 pr|16</t>
        </is>
      </c>
      <c r="L4132" s="12" t="inlineStr">
        <is>
          <t>1 pr</t>
        </is>
      </c>
      <c r="M4132" s="12" t="inlineStr">
        <is>
          <t>16</t>
        </is>
      </c>
      <c r="N4132" s="12" t="n">
        <v>8</v>
      </c>
      <c r="O4132" s="12" t="n">
        <v>1</v>
      </c>
      <c r="P4132" s="12" t="n"/>
      <c r="Q4132" s="12" t="n"/>
      <c r="R4132" s="12" t="n"/>
      <c r="S4132" s="12" t="inlineStr">
        <is>
          <t>Tray / conduit</t>
        </is>
      </c>
      <c r="T4132" s="15" t="n">
        <v>53</v>
      </c>
      <c r="U4132" s="15" t="n">
        <v>10</v>
      </c>
      <c r="V4132" s="15">
        <f>ROUNDUP((T4132+U4132+2*'Read Me'!$B$13)*(1+'Read Me'!$B$12),-1)</f>
        <v/>
      </c>
      <c r="W4132" s="15">
        <f>V4132*N4132*O4132</f>
        <v/>
      </c>
      <c r="X4132" s="12">
        <f>IF(LEFT(I4132,2)="MV",2*N4132*IF(L4132="1/C",O4132,1),0)</f>
        <v/>
      </c>
      <c r="Y4132" s="12">
        <f>IF(OR(LEFT(K4132,4)="LVAX",LEFT(K4132,6)="MV15AX",LEFT(K4132,4)="CTAX",LEFT(K4132,2)="W|"),2*N4132*O4132,0)</f>
        <v/>
      </c>
      <c r="Z4132" s="12" t="inlineStr">
        <is>
          <t>device-to-JB field wiring, one cable per device</t>
        </is>
      </c>
      <c r="AA4132" s="12">
        <f>N4132*O4132</f>
        <v/>
      </c>
    </row>
    <row r="4133">
      <c r="A4133" s="12" t="inlineStr">
        <is>
          <t>H-I-0149</t>
        </is>
      </c>
      <c r="B4133" s="12" t="inlineStr">
        <is>
          <t>H</t>
        </is>
      </c>
      <c r="C4133" s="12" t="inlineStr">
        <is>
          <t>BESS</t>
        </is>
      </c>
      <c r="D4133" s="12" t="inlineStr">
        <is>
          <t>Home run JB-BESS container (IS-DI01 to the control / marshalling room</t>
        </is>
      </c>
      <c r="E4133" s="12" t="inlineStr"/>
      <c r="F4133" s="12" t="inlineStr">
        <is>
          <t>BESS EMS / SCADA and revenue metering</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PLTC|24 pr|18</t>
        </is>
      </c>
      <c r="L4133" s="12" t="inlineStr">
        <is>
          <t>24 pr</t>
        </is>
      </c>
      <c r="M4133" s="12" t="inlineStr">
        <is>
          <t>18</t>
        </is>
      </c>
      <c r="N4133" s="12" t="n">
        <v>1</v>
      </c>
      <c r="O4133" s="12" t="n">
        <v>1</v>
      </c>
      <c r="P4133" s="12" t="n"/>
      <c r="Q4133" s="12" t="n"/>
      <c r="R4133" s="12" t="n"/>
      <c r="S4133" s="12" t="inlineStr">
        <is>
          <t>Duct bank</t>
        </is>
      </c>
      <c r="T4133" s="15" t="n">
        <v>336</v>
      </c>
      <c r="U4133" s="15" t="n">
        <v>177</v>
      </c>
      <c r="V4133" s="15">
        <f>ROUNDUP((T4133+U4133+2*'Read Me'!$B$13)*(1+'Read Me'!$B$12),-1)</f>
        <v/>
      </c>
      <c r="W4133" s="15">
        <f>V4133*N4133*O4133</f>
        <v/>
      </c>
      <c r="X4133" s="12">
        <f>IF(LEFT(I4133,2)="MV",2*N4133*IF(L4133="1/C",O4133,1),0)</f>
        <v/>
      </c>
      <c r="Y4133" s="12">
        <f>IF(OR(LEFT(K4133,4)="LVAX",LEFT(K4133,6)="MV15AX",LEFT(K4133,4)="CTAX",LEFT(K4133,2)="W|"),2*N4133*O4133,0)</f>
        <v/>
      </c>
      <c r="Z4133" s="12" t="inlineStr"/>
      <c r="AA4133" s="12">
        <f>N4133*O4133</f>
        <v/>
      </c>
    </row>
    <row r="4134">
      <c r="A4134" s="12" t="inlineStr">
        <is>
          <t>H-I-0150</t>
        </is>
      </c>
      <c r="B4134" s="12" t="inlineStr">
        <is>
          <t>H</t>
        </is>
      </c>
      <c r="C4134" s="12" t="inlineStr">
        <is>
          <t>BESS</t>
        </is>
      </c>
      <c r="D4134" s="12" t="inlineStr">
        <is>
          <t>Discrete device to JB JB-BESS container (IS-DI01: 8 x 1 pr (field cables)</t>
        </is>
      </c>
      <c r="E4134" s="12" t="inlineStr"/>
      <c r="F4134" s="12" t="inlineStr">
        <is>
          <t>BESS container (ISO 40 ft high cube)</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PLTC|1 pr|16</t>
        </is>
      </c>
      <c r="L4134" s="12" t="inlineStr">
        <is>
          <t>1 pr</t>
        </is>
      </c>
      <c r="M4134" s="12" t="inlineStr">
        <is>
          <t>16</t>
        </is>
      </c>
      <c r="N4134" s="12" t="n">
        <v>8</v>
      </c>
      <c r="O4134" s="12" t="n">
        <v>1</v>
      </c>
      <c r="P4134" s="12" t="n"/>
      <c r="Q4134" s="12" t="n"/>
      <c r="R4134" s="12" t="n"/>
      <c r="S4134" s="12" t="inlineStr">
        <is>
          <t>Tray / conduit</t>
        </is>
      </c>
      <c r="T4134" s="15" t="n">
        <v>53</v>
      </c>
      <c r="U4134" s="15" t="n">
        <v>10</v>
      </c>
      <c r="V4134" s="15">
        <f>ROUNDUP((T4134+U4134+2*'Read Me'!$B$13)*(1+'Read Me'!$B$12),-1)</f>
        <v/>
      </c>
      <c r="W4134" s="15">
        <f>V4134*N4134*O4134</f>
        <v/>
      </c>
      <c r="X4134" s="12">
        <f>IF(LEFT(I4134,2)="MV",2*N4134*IF(L4134="1/C",O4134,1),0)</f>
        <v/>
      </c>
      <c r="Y4134" s="12">
        <f>IF(OR(LEFT(K4134,4)="LVAX",LEFT(K4134,6)="MV15AX",LEFT(K4134,4)="CTAX",LEFT(K4134,2)="W|"),2*N4134*O4134,0)</f>
        <v/>
      </c>
      <c r="Z4134" s="12" t="inlineStr">
        <is>
          <t>device-to-JB field wiring, one cable per device</t>
        </is>
      </c>
      <c r="AA4134" s="12">
        <f>N4134*O4134</f>
        <v/>
      </c>
    </row>
    <row r="4135">
      <c r="A4135" s="12" t="inlineStr">
        <is>
          <t>H-I-0151</t>
        </is>
      </c>
      <c r="B4135" s="12" t="inlineStr">
        <is>
          <t>H</t>
        </is>
      </c>
      <c r="C4135" s="12" t="inlineStr">
        <is>
          <t>BESS</t>
        </is>
      </c>
      <c r="D4135" s="12" t="inlineStr">
        <is>
          <t>Home run JB-BESS container (IS-DI01 to the control / marshalling room</t>
        </is>
      </c>
      <c r="E4135" s="12" t="inlineStr"/>
      <c r="F4135" s="12" t="inlineStr">
        <is>
          <t>BESS EMS / SCADA and revenue metering</t>
        </is>
      </c>
      <c r="G4135" s="12" t="inlineStr">
        <is>
          <t>JB-BESS container (IS-DI01</t>
        </is>
      </c>
      <c r="H4135" s="12" t="inlineStr">
        <is>
          <t>BESS container (ISO 40 ft high cube)</t>
        </is>
      </c>
      <c r="I4135" s="12" t="inlineStr">
        <is>
          <t>Instrumentation</t>
        </is>
      </c>
      <c r="J4135" s="12" t="inlineStr">
        <is>
          <t>Instrumentation PLTC / TC-ER 300 V, #18 twisted shielded pairs, overall shield</t>
        </is>
      </c>
      <c r="K4135" s="12" t="inlineStr">
        <is>
          <t>PLTC|24 pr|18</t>
        </is>
      </c>
      <c r="L4135" s="12" t="inlineStr">
        <is>
          <t>24 pr</t>
        </is>
      </c>
      <c r="M4135" s="12" t="inlineStr">
        <is>
          <t>18</t>
        </is>
      </c>
      <c r="N4135" s="12" t="n">
        <v>1</v>
      </c>
      <c r="O4135" s="12" t="n">
        <v>1</v>
      </c>
      <c r="P4135" s="12" t="n"/>
      <c r="Q4135" s="12" t="n"/>
      <c r="R4135" s="12" t="n"/>
      <c r="S4135" s="12" t="inlineStr">
        <is>
          <t>Duct bank</t>
        </is>
      </c>
      <c r="T4135" s="15" t="n">
        <v>336</v>
      </c>
      <c r="U4135" s="15" t="n">
        <v>117</v>
      </c>
      <c r="V4135" s="15">
        <f>ROUNDUP((T4135+U4135+2*'Read Me'!$B$13)*(1+'Read Me'!$B$12),-1)</f>
        <v/>
      </c>
      <c r="W4135" s="15">
        <f>V4135*N4135*O4135</f>
        <v/>
      </c>
      <c r="X4135" s="12">
        <f>IF(LEFT(I4135,2)="MV",2*N4135*IF(L4135="1/C",O4135,1),0)</f>
        <v/>
      </c>
      <c r="Y4135" s="12">
        <f>IF(OR(LEFT(K4135,4)="LVAX",LEFT(K4135,6)="MV15AX",LEFT(K4135,4)="CTAX",LEFT(K4135,2)="W|"),2*N4135*O4135,0)</f>
        <v/>
      </c>
      <c r="Z4135" s="12" t="inlineStr"/>
      <c r="AA4135" s="12">
        <f>N4135*O4135</f>
        <v/>
      </c>
    </row>
    <row r="4136">
      <c r="A4136" s="12" t="inlineStr">
        <is>
          <t>H-I-0152</t>
        </is>
      </c>
      <c r="B4136" s="12" t="inlineStr">
        <is>
          <t>H</t>
        </is>
      </c>
      <c r="C4136" s="12" t="inlineStr">
        <is>
          <t>BESS</t>
        </is>
      </c>
      <c r="D4136" s="12" t="inlineStr">
        <is>
          <t>Discrete device to JB JB-BESS container (IS-DI01: 8 x 1 pr (field cables)</t>
        </is>
      </c>
      <c r="E4136" s="12" t="inlineStr"/>
      <c r="F4136" s="12" t="inlineStr">
        <is>
          <t>BESS container (ISO 40 ft high cube)</t>
        </is>
      </c>
      <c r="G4136" s="12" t="inlineStr">
        <is>
          <t>JB-BESS container (IS-DI01</t>
        </is>
      </c>
      <c r="H4136" s="12" t="inlineStr">
        <is>
          <t>BESS container (ISO 40 ft high cube)</t>
        </is>
      </c>
      <c r="I4136" s="12" t="inlineStr">
        <is>
          <t>Instrumentation</t>
        </is>
      </c>
      <c r="J4136" s="12" t="inlineStr">
        <is>
          <t>Instrumentation PLTC / TC-ER 300 V, #18 twisted shielded pairs, overall shield</t>
        </is>
      </c>
      <c r="K4136" s="12" t="inlineStr">
        <is>
          <t>PLTC|1 pr|16</t>
        </is>
      </c>
      <c r="L4136" s="12" t="inlineStr">
        <is>
          <t>1 pr</t>
        </is>
      </c>
      <c r="M4136" s="12" t="inlineStr">
        <is>
          <t>16</t>
        </is>
      </c>
      <c r="N4136" s="12" t="n">
        <v>8</v>
      </c>
      <c r="O4136" s="12" t="n">
        <v>1</v>
      </c>
      <c r="P4136" s="12" t="n"/>
      <c r="Q4136" s="12" t="n"/>
      <c r="R4136" s="12" t="n"/>
      <c r="S4136" s="12" t="inlineStr">
        <is>
          <t>Tray / conduit</t>
        </is>
      </c>
      <c r="T4136" s="15" t="n">
        <v>53</v>
      </c>
      <c r="U4136" s="15" t="n">
        <v>10</v>
      </c>
      <c r="V4136" s="15">
        <f>ROUNDUP((T4136+U4136+2*'Read Me'!$B$13)*(1+'Read Me'!$B$12),-1)</f>
        <v/>
      </c>
      <c r="W4136" s="15">
        <f>V4136*N4136*O4136</f>
        <v/>
      </c>
      <c r="X4136" s="12">
        <f>IF(LEFT(I4136,2)="MV",2*N4136*IF(L4136="1/C",O4136,1),0)</f>
        <v/>
      </c>
      <c r="Y4136" s="12">
        <f>IF(OR(LEFT(K4136,4)="LVAX",LEFT(K4136,6)="MV15AX",LEFT(K4136,4)="CTAX",LEFT(K4136,2)="W|"),2*N4136*O4136,0)</f>
        <v/>
      </c>
      <c r="Z4136" s="12" t="inlineStr">
        <is>
          <t>device-to-JB field wiring, one cable per device</t>
        </is>
      </c>
      <c r="AA4136" s="12">
        <f>N4136*O4136</f>
        <v/>
      </c>
    </row>
    <row r="4137">
      <c r="A4137" s="12" t="inlineStr">
        <is>
          <t>H-I-0153</t>
        </is>
      </c>
      <c r="B4137" s="12" t="inlineStr">
        <is>
          <t>H</t>
        </is>
      </c>
      <c r="C4137" s="12" t="inlineStr">
        <is>
          <t>BESS</t>
        </is>
      </c>
      <c r="D4137" s="12" t="inlineStr">
        <is>
          <t>Home run JB-BESS container (IS-DI01 to the control / marshalling room</t>
        </is>
      </c>
      <c r="E4137" s="12" t="inlineStr"/>
      <c r="F4137" s="12" t="inlineStr">
        <is>
          <t>BESS EMS / SCADA and revenue metering</t>
        </is>
      </c>
      <c r="G4137" s="12" t="inlineStr">
        <is>
          <t>JB-BESS container (IS-DI01</t>
        </is>
      </c>
      <c r="H4137" s="12" t="inlineStr">
        <is>
          <t>BESS container (ISO 40 ft high cube)</t>
        </is>
      </c>
      <c r="I4137" s="12" t="inlineStr">
        <is>
          <t>Instrumentation</t>
        </is>
      </c>
      <c r="J4137" s="12" t="inlineStr">
        <is>
          <t>Instrumentation PLTC / TC-ER 300 V, #18 twisted shielded pairs, overall shield</t>
        </is>
      </c>
      <c r="K4137" s="12" t="inlineStr">
        <is>
          <t>PLTC|24 pr|18</t>
        </is>
      </c>
      <c r="L4137" s="12" t="inlineStr">
        <is>
          <t>24 pr</t>
        </is>
      </c>
      <c r="M4137" s="12" t="inlineStr">
        <is>
          <t>18</t>
        </is>
      </c>
      <c r="N4137" s="12" t="n">
        <v>1</v>
      </c>
      <c r="O4137" s="12" t="n">
        <v>1</v>
      </c>
      <c r="P4137" s="12" t="n"/>
      <c r="Q4137" s="12" t="n"/>
      <c r="R4137" s="12" t="n"/>
      <c r="S4137" s="12" t="inlineStr">
        <is>
          <t>Duct bank</t>
        </is>
      </c>
      <c r="T4137" s="15" t="n">
        <v>336</v>
      </c>
      <c r="U4137" s="15" t="n">
        <v>57</v>
      </c>
      <c r="V4137" s="15">
        <f>ROUNDUP((T4137+U4137+2*'Read Me'!$B$13)*(1+'Read Me'!$B$12),-1)</f>
        <v/>
      </c>
      <c r="W4137" s="15">
        <f>V4137*N4137*O4137</f>
        <v/>
      </c>
      <c r="X4137" s="12">
        <f>IF(LEFT(I4137,2)="MV",2*N4137*IF(L4137="1/C",O4137,1),0)</f>
        <v/>
      </c>
      <c r="Y4137" s="12">
        <f>IF(OR(LEFT(K4137,4)="LVAX",LEFT(K4137,6)="MV15AX",LEFT(K4137,4)="CTAX",LEFT(K4137,2)="W|"),2*N4137*O4137,0)</f>
        <v/>
      </c>
      <c r="Z4137" s="12" t="inlineStr"/>
      <c r="AA4137" s="12">
        <f>N4137*O4137</f>
        <v/>
      </c>
    </row>
    <row r="4138">
      <c r="A4138" s="12" t="inlineStr">
        <is>
          <t>H-I-0154</t>
        </is>
      </c>
      <c r="B4138" s="12" t="inlineStr">
        <is>
          <t>H</t>
        </is>
      </c>
      <c r="C4138" s="12" t="inlineStr">
        <is>
          <t>BESS</t>
        </is>
      </c>
      <c r="D4138" s="12" t="inlineStr">
        <is>
          <t>Discrete device to JB JB-BESS container (IS-DI01: 8 x 1 pr (field cables)</t>
        </is>
      </c>
      <c r="E4138" s="12" t="inlineStr"/>
      <c r="F4138" s="12" t="inlineStr">
        <is>
          <t>BESS container (ISO 40 ft high cube)</t>
        </is>
      </c>
      <c r="G4138" s="12" t="inlineStr">
        <is>
          <t>JB-BESS container (IS-DI01</t>
        </is>
      </c>
      <c r="H4138" s="12" t="inlineStr">
        <is>
          <t>BESS container (ISO 40 ft high cube)</t>
        </is>
      </c>
      <c r="I4138" s="12" t="inlineStr">
        <is>
          <t>Instrumentation</t>
        </is>
      </c>
      <c r="J4138" s="12" t="inlineStr">
        <is>
          <t>Instrumentation PLTC / TC-ER 300 V, #18 twisted shielded pairs, overall shield</t>
        </is>
      </c>
      <c r="K4138" s="12" t="inlineStr">
        <is>
          <t>PLTC|1 pr|16</t>
        </is>
      </c>
      <c r="L4138" s="12" t="inlineStr">
        <is>
          <t>1 pr</t>
        </is>
      </c>
      <c r="M4138" s="12" t="inlineStr">
        <is>
          <t>16</t>
        </is>
      </c>
      <c r="N4138" s="12" t="n">
        <v>8</v>
      </c>
      <c r="O4138" s="12" t="n">
        <v>1</v>
      </c>
      <c r="P4138" s="12" t="n"/>
      <c r="Q4138" s="12" t="n"/>
      <c r="R4138" s="12" t="n"/>
      <c r="S4138" s="12" t="inlineStr">
        <is>
          <t>Tray / conduit</t>
        </is>
      </c>
      <c r="T4138" s="15" t="n">
        <v>53</v>
      </c>
      <c r="U4138" s="15" t="n">
        <v>10</v>
      </c>
      <c r="V4138" s="15">
        <f>ROUNDUP((T4138+U4138+2*'Read Me'!$B$13)*(1+'Read Me'!$B$12),-1)</f>
        <v/>
      </c>
      <c r="W4138" s="15">
        <f>V4138*N4138*O4138</f>
        <v/>
      </c>
      <c r="X4138" s="12">
        <f>IF(LEFT(I4138,2)="MV",2*N4138*IF(L4138="1/C",O4138,1),0)</f>
        <v/>
      </c>
      <c r="Y4138" s="12">
        <f>IF(OR(LEFT(K4138,4)="LVAX",LEFT(K4138,6)="MV15AX",LEFT(K4138,4)="CTAX",LEFT(K4138,2)="W|"),2*N4138*O4138,0)</f>
        <v/>
      </c>
      <c r="Z4138" s="12" t="inlineStr">
        <is>
          <t>device-to-JB field wiring, one cable per device</t>
        </is>
      </c>
      <c r="AA4138" s="12">
        <f>N4138*O4138</f>
        <v/>
      </c>
    </row>
    <row r="4139">
      <c r="A4139" s="12" t="inlineStr">
        <is>
          <t>H-I-0155</t>
        </is>
      </c>
      <c r="B4139" s="12" t="inlineStr">
        <is>
          <t>H</t>
        </is>
      </c>
      <c r="C4139" s="12" t="inlineStr">
        <is>
          <t>BESS</t>
        </is>
      </c>
      <c r="D4139" s="12" t="inlineStr">
        <is>
          <t>Home run JB-BESS container (IS-DI01 to the control / marshalling room</t>
        </is>
      </c>
      <c r="E4139" s="12" t="inlineStr"/>
      <c r="F4139" s="12" t="inlineStr">
        <is>
          <t>BESS EMS / SCADA and revenue metering</t>
        </is>
      </c>
      <c r="G4139" s="12" t="inlineStr">
        <is>
          <t>JB-BESS container (IS-DI01</t>
        </is>
      </c>
      <c r="H4139" s="12" t="inlineStr">
        <is>
          <t>BESS container (ISO 40 ft high cube)</t>
        </is>
      </c>
      <c r="I4139" s="12" t="inlineStr">
        <is>
          <t>Instrumentation</t>
        </is>
      </c>
      <c r="J4139" s="12" t="inlineStr">
        <is>
          <t>Instrumentation PLTC / TC-ER 300 V, #18 twisted shielded pairs, overall shield</t>
        </is>
      </c>
      <c r="K4139" s="12" t="inlineStr">
        <is>
          <t>PLTC|24 pr|18</t>
        </is>
      </c>
      <c r="L4139" s="12" t="inlineStr">
        <is>
          <t>24 pr</t>
        </is>
      </c>
      <c r="M4139" s="12" t="inlineStr">
        <is>
          <t>18</t>
        </is>
      </c>
      <c r="N4139" s="12" t="n">
        <v>1</v>
      </c>
      <c r="O4139" s="12" t="n">
        <v>1</v>
      </c>
      <c r="P4139" s="12" t="n"/>
      <c r="Q4139" s="12" t="n"/>
      <c r="R4139" s="12" t="n"/>
      <c r="S4139" s="12" t="inlineStr">
        <is>
          <t>Duct bank</t>
        </is>
      </c>
      <c r="T4139" s="15" t="n">
        <v>336</v>
      </c>
      <c r="U4139" s="15" t="n">
        <v>57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H-I-0156</t>
        </is>
      </c>
      <c r="B4140" s="12" t="inlineStr">
        <is>
          <t>H</t>
        </is>
      </c>
      <c r="C4140" s="12" t="inlineStr">
        <is>
          <t>BESS</t>
        </is>
      </c>
      <c r="D4140" s="12" t="inlineStr">
        <is>
          <t>Analog instrument to JB JB-BESS MPT-AI01: 8 x 1 pr (field cables)</t>
        </is>
      </c>
      <c r="E4140" s="12" t="inlineStr">
        <is>
          <t>BESS MPT</t>
        </is>
      </c>
      <c r="F4140" s="12" t="inlineStr">
        <is>
          <t>BESS main power transformer 34.5/230 kV (to D4 upper)</t>
        </is>
      </c>
      <c r="G4140" s="12" t="inlineStr">
        <is>
          <t>JB-BESS MPT-AI01</t>
        </is>
      </c>
      <c r="H4140" s="12" t="inlineStr">
        <is>
          <t>BESS main power transformer 34.5/230 kV (to D4 upper)</t>
        </is>
      </c>
      <c r="I4140" s="12" t="inlineStr">
        <is>
          <t>Instrumentation</t>
        </is>
      </c>
      <c r="J4140" s="12" t="inlineStr">
        <is>
          <t>Instrumentation PLTC / TC-ER 300 V, #18 twisted shielded pairs, overall shield</t>
        </is>
      </c>
      <c r="K4140" s="12" t="inlineStr">
        <is>
          <t>PLTC|1 pr|16</t>
        </is>
      </c>
      <c r="L4140" s="12" t="inlineStr">
        <is>
          <t>1 pr</t>
        </is>
      </c>
      <c r="M4140" s="12" t="inlineStr">
        <is>
          <t>16</t>
        </is>
      </c>
      <c r="N4140" s="12" t="n">
        <v>8</v>
      </c>
      <c r="O4140" s="12" t="n">
        <v>1</v>
      </c>
      <c r="P4140" s="12" t="n"/>
      <c r="Q4140" s="12" t="n"/>
      <c r="R4140" s="12" t="n"/>
      <c r="S4140" s="12" t="inlineStr">
        <is>
          <t>Tray / conduit</t>
        </is>
      </c>
      <c r="T4140" s="15" t="n">
        <v>77</v>
      </c>
      <c r="U4140" s="15" t="n">
        <v>10</v>
      </c>
      <c r="V4140" s="15">
        <f>ROUNDUP((T4140+U4140+2*'Read Me'!$B$13)*(1+'Read Me'!$B$12),-1)</f>
        <v/>
      </c>
      <c r="W4140" s="15">
        <f>V4140*N4140*O4140</f>
        <v/>
      </c>
      <c r="X4140" s="12">
        <f>IF(LEFT(I4140,2)="MV",2*N4140*IF(L4140="1/C",O4140,1),0)</f>
        <v/>
      </c>
      <c r="Y4140" s="12">
        <f>IF(OR(LEFT(K4140,4)="LVAX",LEFT(K4140,6)="MV15AX",LEFT(K4140,4)="CTAX",LEFT(K4140,2)="W|"),2*N4140*O4140,0)</f>
        <v/>
      </c>
      <c r="Z4140" s="12" t="inlineStr">
        <is>
          <t>device-to-JB field wiring, one cable per device</t>
        </is>
      </c>
      <c r="AA4140" s="12">
        <f>N4140*O4140</f>
        <v/>
      </c>
    </row>
    <row r="4141">
      <c r="A4141" s="12" t="inlineStr">
        <is>
          <t>H-I-0157</t>
        </is>
      </c>
      <c r="B4141" s="12" t="inlineStr">
        <is>
          <t>H</t>
        </is>
      </c>
      <c r="C4141" s="12" t="inlineStr">
        <is>
          <t>BESS</t>
        </is>
      </c>
      <c r="D4141" s="12" t="inlineStr">
        <is>
          <t>Home run JB-BESS MPT-AI01 to the control / marshalling room</t>
        </is>
      </c>
      <c r="E4141" s="12" t="inlineStr"/>
      <c r="F4141" s="12" t="inlineStr">
        <is>
          <t>BESS EMS / SCADA and revenue metering</t>
        </is>
      </c>
      <c r="G4141" s="12" t="inlineStr">
        <is>
          <t>JB-BESS MPT-AI01</t>
        </is>
      </c>
      <c r="H4141" s="12" t="inlineStr">
        <is>
          <t>BESS main power transformer 34.5/230 kV (to D4 upper)</t>
        </is>
      </c>
      <c r="I4141" s="12" t="inlineStr">
        <is>
          <t>Instrumentation</t>
        </is>
      </c>
      <c r="J4141" s="12" t="inlineStr">
        <is>
          <t>Instrumentation PLTC / TC-ER 300 V, #18 twisted shielded pairs, overall shield</t>
        </is>
      </c>
      <c r="K4141" s="12" t="inlineStr">
        <is>
          <t>PLTC|24 pr|18</t>
        </is>
      </c>
      <c r="L4141" s="12" t="inlineStr">
        <is>
          <t>24 pr</t>
        </is>
      </c>
      <c r="M4141" s="12" t="inlineStr">
        <is>
          <t>18</t>
        </is>
      </c>
      <c r="N4141" s="12" t="n">
        <v>1</v>
      </c>
      <c r="O4141" s="12" t="n">
        <v>1</v>
      </c>
      <c r="P4141" s="12" t="n"/>
      <c r="Q4141" s="12" t="n"/>
      <c r="R4141" s="12" t="n"/>
      <c r="S4141" s="12" t="inlineStr">
        <is>
          <t>Duct bank</t>
        </is>
      </c>
      <c r="T4141" s="15" t="n">
        <v>162</v>
      </c>
      <c r="U4141" s="15" t="n">
        <v>32</v>
      </c>
      <c r="V4141" s="15">
        <f>ROUNDUP((T4141+U4141+2*'Read Me'!$B$13)*(1+'Read Me'!$B$12),-1)</f>
        <v/>
      </c>
      <c r="W4141" s="15">
        <f>V4141*N4141*O4141</f>
        <v/>
      </c>
      <c r="X4141" s="12">
        <f>IF(LEFT(I4141,2)="MV",2*N4141*IF(L4141="1/C",O4141,1),0)</f>
        <v/>
      </c>
      <c r="Y4141" s="12">
        <f>IF(OR(LEFT(K4141,4)="LVAX",LEFT(K4141,6)="MV15AX",LEFT(K4141,4)="CTAX",LEFT(K4141,2)="W|"),2*N4141*O4141,0)</f>
        <v/>
      </c>
      <c r="Z4141" s="12" t="inlineStr"/>
      <c r="AA4141" s="12">
        <f>N4141*O4141</f>
        <v/>
      </c>
    </row>
    <row r="4142">
      <c r="A4142" s="12" t="inlineStr">
        <is>
          <t>H-I-0158</t>
        </is>
      </c>
      <c r="B4142" s="12" t="inlineStr">
        <is>
          <t>H</t>
        </is>
      </c>
      <c r="C4142" s="12" t="inlineStr">
        <is>
          <t>BESS</t>
        </is>
      </c>
      <c r="D4142" s="12" t="inlineStr">
        <is>
          <t>Discrete device to JB JB-BESS MPT-DI01: 16 x 1 pr (field cables)</t>
        </is>
      </c>
      <c r="E4142" s="12" t="inlineStr">
        <is>
          <t>BESS MPT</t>
        </is>
      </c>
      <c r="F4142" s="12" t="inlineStr">
        <is>
          <t>BESS main power transformer 34.5/230 kV (to D4 upper)</t>
        </is>
      </c>
      <c r="G4142" s="12" t="inlineStr">
        <is>
          <t>JB-BESS MPT-DI01</t>
        </is>
      </c>
      <c r="H4142" s="12" t="inlineStr">
        <is>
          <t>BESS main power transformer 34.5/230 kV (to D4 upper)</t>
        </is>
      </c>
      <c r="I4142" s="12" t="inlineStr">
        <is>
          <t>Instrumentation</t>
        </is>
      </c>
      <c r="J4142" s="12" t="inlineStr">
        <is>
          <t>Instrumentation PLTC / TC-ER 300 V, #18 twisted shielded pairs, overall shield</t>
        </is>
      </c>
      <c r="K4142" s="12" t="inlineStr">
        <is>
          <t>PLTC|1 pr|16</t>
        </is>
      </c>
      <c r="L4142" s="12" t="inlineStr">
        <is>
          <t>1 pr</t>
        </is>
      </c>
      <c r="M4142" s="12" t="inlineStr">
        <is>
          <t>16</t>
        </is>
      </c>
      <c r="N4142" s="12" t="n">
        <v>16</v>
      </c>
      <c r="O4142" s="12" t="n">
        <v>1</v>
      </c>
      <c r="P4142" s="12" t="n"/>
      <c r="Q4142" s="12" t="n"/>
      <c r="R4142" s="12" t="n"/>
      <c r="S4142" s="12" t="inlineStr">
        <is>
          <t>Tray / conduit</t>
        </is>
      </c>
      <c r="T4142" s="15" t="n">
        <v>77</v>
      </c>
      <c r="U4142" s="15" t="n">
        <v>10</v>
      </c>
      <c r="V4142" s="15">
        <f>ROUNDUP((T4142+U4142+2*'Read Me'!$B$13)*(1+'Read Me'!$B$12),-1)</f>
        <v/>
      </c>
      <c r="W4142" s="15">
        <f>V4142*N4142*O4142</f>
        <v/>
      </c>
      <c r="X4142" s="12">
        <f>IF(LEFT(I4142,2)="MV",2*N4142*IF(L4142="1/C",O4142,1),0)</f>
        <v/>
      </c>
      <c r="Y4142" s="12">
        <f>IF(OR(LEFT(K4142,4)="LVAX",LEFT(K4142,6)="MV15AX",LEFT(K4142,4)="CTAX",LEFT(K4142,2)="W|"),2*N4142*O4142,0)</f>
        <v/>
      </c>
      <c r="Z4142" s="12" t="inlineStr">
        <is>
          <t>device-to-JB field wiring, one cable per device</t>
        </is>
      </c>
      <c r="AA4142" s="12">
        <f>N4142*O4142</f>
        <v/>
      </c>
    </row>
    <row r="4143">
      <c r="A4143" s="12" t="inlineStr">
        <is>
          <t>H-I-0159</t>
        </is>
      </c>
      <c r="B4143" s="12" t="inlineStr">
        <is>
          <t>H</t>
        </is>
      </c>
      <c r="C4143" s="12" t="inlineStr">
        <is>
          <t>BESS</t>
        </is>
      </c>
      <c r="D4143" s="12" t="inlineStr">
        <is>
          <t>Home run JB-BESS MPT-DI01 to the control / marshalling room</t>
        </is>
      </c>
      <c r="E4143" s="12" t="inlineStr"/>
      <c r="F4143" s="12" t="inlineStr">
        <is>
          <t>BESS EMS / SCADA and revenue metering</t>
        </is>
      </c>
      <c r="G4143" s="12" t="inlineStr">
        <is>
          <t>JB-BESS MPT-DI01</t>
        </is>
      </c>
      <c r="H4143" s="12" t="inlineStr">
        <is>
          <t>BESS main power transformer 34.5/230 kV (to D4 upper)</t>
        </is>
      </c>
      <c r="I4143" s="12" t="inlineStr">
        <is>
          <t>Instrumentation</t>
        </is>
      </c>
      <c r="J4143" s="12" t="inlineStr">
        <is>
          <t>Instrumentation PLTC / TC-ER 300 V, #18 twisted shielded pairs, overall shield</t>
        </is>
      </c>
      <c r="K4143" s="12" t="inlineStr">
        <is>
          <t>PLTC|24 pr|18</t>
        </is>
      </c>
      <c r="L4143" s="12" t="inlineStr">
        <is>
          <t>24 pr</t>
        </is>
      </c>
      <c r="M4143" s="12" t="inlineStr">
        <is>
          <t>18</t>
        </is>
      </c>
      <c r="N4143" s="12" t="n">
        <v>1</v>
      </c>
      <c r="O4143" s="12" t="n">
        <v>1</v>
      </c>
      <c r="P4143" s="12" t="n"/>
      <c r="Q4143" s="12" t="n"/>
      <c r="R4143" s="12" t="n"/>
      <c r="S4143" s="12" t="inlineStr">
        <is>
          <t>Duct bank</t>
        </is>
      </c>
      <c r="T4143" s="15" t="n">
        <v>162</v>
      </c>
      <c r="U4143" s="15" t="n">
        <v>32</v>
      </c>
      <c r="V4143" s="15">
        <f>ROUNDUP((T4143+U4143+2*'Read Me'!$B$13)*(1+'Read Me'!$B$12),-1)</f>
        <v/>
      </c>
      <c r="W4143" s="15">
        <f>V4143*N4143*O4143</f>
        <v/>
      </c>
      <c r="X4143" s="12">
        <f>IF(LEFT(I4143,2)="MV",2*N4143*IF(L4143="1/C",O4143,1),0)</f>
        <v/>
      </c>
      <c r="Y4143" s="12">
        <f>IF(OR(LEFT(K4143,4)="LVAX",LEFT(K4143,6)="MV15AX",LEFT(K4143,4)="CTAX",LEFT(K4143,2)="W|"),2*N4143*O4143,0)</f>
        <v/>
      </c>
      <c r="Z4143" s="12" t="inlineStr"/>
      <c r="AA4143" s="12">
        <f>N4143*O4143</f>
        <v/>
      </c>
    </row>
    <row r="4144">
      <c r="A4144" s="12" t="inlineStr">
        <is>
          <t>H-I-0160</t>
        </is>
      </c>
      <c r="B4144" s="12" t="inlineStr">
        <is>
          <t>H</t>
        </is>
      </c>
      <c r="C4144" s="12" t="inlineStr">
        <is>
          <t>BESS</t>
        </is>
      </c>
      <c r="D4144" s="12" t="inlineStr">
        <is>
          <t>Instrumentation</t>
        </is>
      </c>
      <c r="E4144" s="12" t="inlineStr"/>
      <c r="F4144" s="12" t="inlineStr">
        <is>
          <t>BESS EMS / SCADA and revenue metering</t>
        </is>
      </c>
      <c r="G4144" s="12" t="inlineStr"/>
      <c r="H4144" s="12" t="inlineStr">
        <is>
          <t>CONDITIONAL: grounding transformer</t>
        </is>
      </c>
      <c r="I4144" s="12" t="inlineStr">
        <is>
          <t>Instrumentation</t>
        </is>
      </c>
      <c r="J4144" s="12" t="inlineStr">
        <is>
          <t>Instrumentation PLTC / TC-ER 300 V, #18 twisted shielded pairs, overall shield</t>
        </is>
      </c>
      <c r="K4144" s="12" t="inlineStr">
        <is>
          <t>PLTC|4 pr|18</t>
        </is>
      </c>
      <c r="L4144" s="12" t="inlineStr">
        <is>
          <t>4 pr</t>
        </is>
      </c>
      <c r="M4144" s="12" t="inlineStr">
        <is>
          <t>18</t>
        </is>
      </c>
      <c r="N4144" s="12" t="n">
        <v>1</v>
      </c>
      <c r="O4144" s="12" t="n">
        <v>1</v>
      </c>
      <c r="P4144" s="12" t="n"/>
      <c r="Q4144" s="12" t="n"/>
      <c r="R4144" s="12" t="n"/>
      <c r="S4144" s="12" t="inlineStr">
        <is>
          <t>Duct bank</t>
        </is>
      </c>
      <c r="T4144" s="15" t="n">
        <v>280</v>
      </c>
      <c r="U4144" s="15" t="n">
        <v>87</v>
      </c>
      <c r="V4144" s="15">
        <f>ROUNDUP((T4144+U4144+2*'Read Me'!$B$13)*(1+'Read Me'!$B$12),-1)</f>
        <v/>
      </c>
      <c r="W4144" s="15">
        <f>V4144*N4144*O4144</f>
        <v/>
      </c>
      <c r="X4144" s="12">
        <f>IF(LEFT(I4144,2)="MV",2*N4144*IF(L4144="1/C",O4144,1),0)</f>
        <v/>
      </c>
      <c r="Y4144" s="12">
        <f>IF(OR(LEFT(K4144,4)="LVAX",LEFT(K4144,6)="MV15AX",LEFT(K4144,4)="CTAX",LEFT(K4144,2)="W|"),2*N4144*O4144,0)</f>
        <v/>
      </c>
      <c r="Z4144" s="12" t="inlineStr"/>
      <c r="AA4144" s="12">
        <f>N4144*O4144</f>
        <v/>
      </c>
    </row>
    <row r="4145">
      <c r="A4145" s="12" t="inlineStr">
        <is>
          <t>H-P-0001</t>
        </is>
      </c>
      <c r="B4145" s="12" t="inlineStr">
        <is>
          <t>H</t>
        </is>
      </c>
      <c r="C4145" s="12" t="inlineStr">
        <is>
          <t>BESS</t>
        </is>
      </c>
      <c r="D4145" s="12" t="inlineStr">
        <is>
          <t>LV panel / distribution feeder</t>
        </is>
      </c>
      <c r="E4145" s="12" t="inlineStr"/>
      <c r="F4145" s="12" t="inlineStr">
        <is>
          <t>BESS auxiliary transformer</t>
        </is>
      </c>
      <c r="G4145" s="12" t="inlineStr"/>
      <c r="H4145" s="12" t="inlineStr">
        <is>
          <t>34.5 kV collector e-house (arc-resistant)</t>
        </is>
      </c>
      <c r="I4145" s="12" t="inlineStr">
        <is>
          <t>LV 600 V</t>
        </is>
      </c>
      <c r="J4145" s="12" t="inlineStr">
        <is>
          <t>Type TC-ER 600 V 3/C Cu XHHW-2 + ground, PVC jacket</t>
        </is>
      </c>
      <c r="K4145" s="12" t="inlineStr">
        <is>
          <t>LV|3/C+G|6</t>
        </is>
      </c>
      <c r="L4145" s="12" t="inlineStr">
        <is>
          <t>3/C+G</t>
        </is>
      </c>
      <c r="M4145" s="12" t="inlineStr">
        <is>
          <t>6</t>
        </is>
      </c>
      <c r="N4145" s="12" t="n">
        <v>1</v>
      </c>
      <c r="O4145" s="12" t="n">
        <v>1</v>
      </c>
      <c r="P4145" s="12" t="n">
        <v>480</v>
      </c>
      <c r="Q4145" s="12" t="n">
        <v>30</v>
      </c>
      <c r="R4145" s="12" t="n">
        <v>42.5</v>
      </c>
      <c r="S4145" s="12" t="inlineStr">
        <is>
          <t>Duct bank</t>
        </is>
      </c>
      <c r="T4145" s="15" t="n">
        <v>30</v>
      </c>
      <c r="U4145" s="15" t="n">
        <v>37</v>
      </c>
      <c r="V4145" s="15">
        <f>ROUNDUP((T4145+U4145+2*'Read Me'!$B$13)*(1+'Read Me'!$B$12),-1)</f>
        <v/>
      </c>
      <c r="W4145" s="15">
        <f>V4145*N4145*O4145</f>
        <v/>
      </c>
      <c r="X4145" s="12">
        <f>IF(LEFT(I4145,2)="MV",2*N4145*IF(L4145="1/C",O4145,1),0)</f>
        <v/>
      </c>
      <c r="Y4145" s="12">
        <f>IF(OR(LEFT(K4145,4)="LVAX",LEFT(K4145,6)="MV15AX",LEFT(K4145,4)="CTAX",LEFT(K4145,2)="W|"),2*N4145*O4145,0)</f>
        <v/>
      </c>
      <c r="Z4145" s="12" t="inlineStr">
        <is>
          <t>VD 0.6 %</t>
        </is>
      </c>
      <c r="AA4145" s="12">
        <f>N4145*O4145</f>
        <v/>
      </c>
    </row>
    <row r="4146">
      <c r="A4146" s="12" t="inlineStr">
        <is>
          <t>H-P-0002</t>
        </is>
      </c>
      <c r="B4146" s="12" t="inlineStr">
        <is>
          <t>H</t>
        </is>
      </c>
      <c r="C4146" s="12" t="inlineStr">
        <is>
          <t>BESS</t>
        </is>
      </c>
      <c r="D4146" s="12" t="inlineStr">
        <is>
          <t>LV panel / distribution feeder</t>
        </is>
      </c>
      <c r="E4146" s="12" t="inlineStr"/>
      <c r="F4146" s="12" t="inlineStr">
        <is>
          <t>BESS auxiliary transformer</t>
        </is>
      </c>
      <c r="G4146" s="12" t="inlineStr"/>
      <c r="H4146" s="12" t="inlineStr">
        <is>
          <t>BESS EMS / SCADA and revenue metering</t>
        </is>
      </c>
      <c r="I4146" s="12" t="inlineStr">
        <is>
          <t>LV 600 V</t>
        </is>
      </c>
      <c r="J4146" s="12" t="inlineStr">
        <is>
          <t>ARMOR-X MC-HL 600 V 3/C Cu XHHW-2 + ground, CWA, black PVC (Class I Div 2)</t>
        </is>
      </c>
      <c r="K4146" s="12" t="inlineStr">
        <is>
          <t>LVAX|3/C+G|6</t>
        </is>
      </c>
      <c r="L4146" s="12" t="inlineStr">
        <is>
          <t>3/C+G</t>
        </is>
      </c>
      <c r="M4146" s="12" t="inlineStr">
        <is>
          <t>6</t>
        </is>
      </c>
      <c r="N4146" s="12" t="n">
        <v>1</v>
      </c>
      <c r="O4146" s="12" t="n">
        <v>1</v>
      </c>
      <c r="P4146" s="12" t="n">
        <v>480</v>
      </c>
      <c r="Q4146" s="12" t="n">
        <v>30</v>
      </c>
      <c r="R4146" s="12" t="n">
        <v>42.5</v>
      </c>
      <c r="S4146" s="12" t="inlineStr">
        <is>
          <t>Tray</t>
        </is>
      </c>
      <c r="T4146" s="15" t="n">
        <v>0</v>
      </c>
      <c r="U4146" s="15" t="n">
        <v>70</v>
      </c>
      <c r="V4146" s="15">
        <f>ROUNDUP((T4146+U4146+2*'Read Me'!$B$13)*(1+'Read Me'!$B$12),-1)</f>
        <v/>
      </c>
      <c r="W4146" s="15">
        <f>V4146*N4146*O4146</f>
        <v/>
      </c>
      <c r="X4146" s="12">
        <f>IF(LEFT(I4146,2)="MV",2*N4146*IF(L4146="1/C",O4146,1),0)</f>
        <v/>
      </c>
      <c r="Y4146" s="12">
        <f>IF(OR(LEFT(K4146,4)="LVAX",LEFT(K4146,6)="MV15AX",LEFT(K4146,4)="CTAX",LEFT(K4146,2)="W|"),2*N4146*O4146,0)</f>
        <v/>
      </c>
      <c r="Z4146" s="12" t="inlineStr">
        <is>
          <t>VD 0.6 %</t>
        </is>
      </c>
      <c r="AA4146" s="12">
        <f>N4146*O4146</f>
        <v/>
      </c>
    </row>
    <row r="4147">
      <c r="A4147" s="12" t="inlineStr">
        <is>
          <t>H-P-0003</t>
        </is>
      </c>
      <c r="B4147" s="12" t="inlineStr">
        <is>
          <t>H</t>
        </is>
      </c>
      <c r="C4147" s="12" t="inlineStr">
        <is>
          <t>BESS</t>
        </is>
      </c>
      <c r="D4147" s="12" t="inlineStr">
        <is>
          <t>Motor 1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318</v>
      </c>
      <c r="U4147" s="15" t="n">
        <v>103</v>
      </c>
      <c r="V4147" s="15">
        <f>ROUNDUP((T4147+U4147+2*'Read Me'!$B$13)*(1+'Read Me'!$B$12),-1)</f>
        <v/>
      </c>
      <c r="W4147" s="15">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H-P-0004</t>
        </is>
      </c>
      <c r="B4148" s="12" t="inlineStr">
        <is>
          <t>H</t>
        </is>
      </c>
      <c r="C4148" s="12" t="inlineStr">
        <is>
          <t>BESS</t>
        </is>
      </c>
      <c r="D4148" s="12" t="inlineStr">
        <is>
          <t>Motor 2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103</v>
      </c>
      <c r="V4148" s="15">
        <f>ROUNDUP((T4148+U4148+2*'Read Me'!$B$13)*(1+'Read Me'!$B$12),-1)</f>
        <v/>
      </c>
      <c r="W4148" s="15">
        <f>V4148*N4148*O4148</f>
        <v/>
      </c>
      <c r="X4148" s="12">
        <f>IF(LEFT(I4148,2)="MV",2*N4148*IF(L4148="1/C",O4148,1),0)</f>
        <v/>
      </c>
      <c r="Y4148" s="12">
        <f>IF(OR(LEFT(K4148,4)="LVAX",LEFT(K4148,6)="MV15AX",LEFT(K4148,4)="CTAX",LEFT(K4148,2)="W|"),2*N4148*O4148,0)</f>
        <v/>
      </c>
      <c r="Z4148" s="12" t="inlineStr">
        <is>
          <t>VD 2.0 %</t>
        </is>
      </c>
      <c r="AA4148" s="12">
        <f>N4148*O4148</f>
        <v/>
      </c>
    </row>
    <row r="4149">
      <c r="A4149" s="12" t="inlineStr">
        <is>
          <t>H-P-0005</t>
        </is>
      </c>
      <c r="B4149" s="12" t="inlineStr">
        <is>
          <t>H</t>
        </is>
      </c>
      <c r="C4149" s="12" t="inlineStr">
        <is>
          <t>BESS</t>
        </is>
      </c>
      <c r="D4149" s="12" t="inlineStr">
        <is>
          <t>Motor 1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178</v>
      </c>
      <c r="U4149" s="15" t="n">
        <v>123</v>
      </c>
      <c r="V4149" s="15">
        <f>ROUNDUP((T4149+U4149+2*'Read Me'!$B$13)*(1+'Read Me'!$B$12),-1)</f>
        <v/>
      </c>
      <c r="W4149" s="15">
        <f>V4149*N4149*O4149</f>
        <v/>
      </c>
      <c r="X4149" s="12">
        <f>IF(LEFT(I4149,2)="MV",2*N4149*IF(L4149="1/C",O4149,1),0)</f>
        <v/>
      </c>
      <c r="Y4149" s="12">
        <f>IF(OR(LEFT(K4149,4)="LVAX",LEFT(K4149,6)="MV15AX",LEFT(K4149,4)="CTAX",LEFT(K4149,2)="W|"),2*N4149*O4149,0)</f>
        <v/>
      </c>
      <c r="Z4149" s="12" t="inlineStr">
        <is>
          <t>VD 1.4 %</t>
        </is>
      </c>
      <c r="AA4149" s="12">
        <f>N4149*O4149</f>
        <v/>
      </c>
    </row>
    <row r="4150">
      <c r="A4150" s="12" t="inlineStr">
        <is>
          <t>H-P-0006</t>
        </is>
      </c>
      <c r="B4150" s="12" t="inlineStr">
        <is>
          <t>H</t>
        </is>
      </c>
      <c r="C4150" s="12" t="inlineStr">
        <is>
          <t>BESS</t>
        </is>
      </c>
      <c r="D4150" s="12" t="inlineStr">
        <is>
          <t>Motor 2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123</v>
      </c>
      <c r="V4150" s="15">
        <f>ROUNDUP((T4150+U4150+2*'Read Me'!$B$13)*(1+'Read Me'!$B$12),-1)</f>
        <v/>
      </c>
      <c r="W4150" s="15">
        <f>V4150*N4150*O4150</f>
        <v/>
      </c>
      <c r="X4150" s="12">
        <f>IF(LEFT(I4150,2)="MV",2*N4150*IF(L4150="1/C",O4150,1),0)</f>
        <v/>
      </c>
      <c r="Y4150" s="12">
        <f>IF(OR(LEFT(K4150,4)="LVAX",LEFT(K4150,6)="MV15AX",LEFT(K4150,4)="CTAX",LEFT(K4150,2)="W|"),2*N4150*O4150,0)</f>
        <v/>
      </c>
      <c r="Z4150" s="12" t="inlineStr">
        <is>
          <t>VD 1.4 %</t>
        </is>
      </c>
      <c r="AA4150" s="12">
        <f>N4150*O4150</f>
        <v/>
      </c>
    </row>
    <row r="4151">
      <c r="A4151" s="12" t="inlineStr">
        <is>
          <t>H-P-0007</t>
        </is>
      </c>
      <c r="B4151" s="12" t="inlineStr">
        <is>
          <t>H</t>
        </is>
      </c>
      <c r="C4151" s="12" t="inlineStr">
        <is>
          <t>BESS</t>
        </is>
      </c>
      <c r="D4151" s="12" t="inlineStr">
        <is>
          <t>Motor 1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74</v>
      </c>
      <c r="U4151" s="15" t="n">
        <v>107</v>
      </c>
      <c r="V4151" s="15">
        <f>ROUNDUP((T4151+U4151+2*'Read Me'!$B$13)*(1+'Read Me'!$B$12),-1)</f>
        <v/>
      </c>
      <c r="W4151" s="15">
        <f>V4151*N4151*O4151</f>
        <v/>
      </c>
      <c r="X4151" s="12">
        <f>IF(LEFT(I4151,2)="MV",2*N4151*IF(L4151="1/C",O4151,1),0)</f>
        <v/>
      </c>
      <c r="Y4151" s="12">
        <f>IF(OR(LEFT(K4151,4)="LVAX",LEFT(K4151,6)="MV15AX",LEFT(K4151,4)="CTAX",LEFT(K4151,2)="W|"),2*N4151*O4151,0)</f>
        <v/>
      </c>
      <c r="Z4151" s="12" t="inlineStr">
        <is>
          <t>VD 0.9 %</t>
        </is>
      </c>
      <c r="AA4151" s="12">
        <f>N4151*O4151</f>
        <v/>
      </c>
    </row>
    <row r="4152">
      <c r="A4152" s="12" t="inlineStr">
        <is>
          <t>H-P-0008</t>
        </is>
      </c>
      <c r="B4152" s="12" t="inlineStr">
        <is>
          <t>H</t>
        </is>
      </c>
      <c r="C4152" s="12" t="inlineStr">
        <is>
          <t>BESS</t>
        </is>
      </c>
      <c r="D4152" s="12" t="inlineStr">
        <is>
          <t>Motor 2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107</v>
      </c>
      <c r="V4152" s="15">
        <f>ROUNDUP((T4152+U4152+2*'Read Me'!$B$13)*(1+'Read Me'!$B$12),-1)</f>
        <v/>
      </c>
      <c r="W4152" s="15">
        <f>V4152*N4152*O4152</f>
        <v/>
      </c>
      <c r="X4152" s="12">
        <f>IF(LEFT(I4152,2)="MV",2*N4152*IF(L4152="1/C",O4152,1),0)</f>
        <v/>
      </c>
      <c r="Y4152" s="12">
        <f>IF(OR(LEFT(K4152,4)="LVAX",LEFT(K4152,6)="MV15AX",LEFT(K4152,4)="CTAX",LEFT(K4152,2)="W|"),2*N4152*O4152,0)</f>
        <v/>
      </c>
      <c r="Z4152" s="12" t="inlineStr">
        <is>
          <t>VD 0.9 %</t>
        </is>
      </c>
      <c r="AA4152" s="12">
        <f>N4152*O4152</f>
        <v/>
      </c>
    </row>
    <row r="4153">
      <c r="A4153" s="12" t="inlineStr">
        <is>
          <t>H-P-0009</t>
        </is>
      </c>
      <c r="B4153" s="12" t="inlineStr">
        <is>
          <t>H</t>
        </is>
      </c>
      <c r="C4153" s="12" t="inlineStr">
        <is>
          <t>BESS</t>
        </is>
      </c>
      <c r="D4153" s="12" t="inlineStr">
        <is>
          <t>Motor 1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318</v>
      </c>
      <c r="U4153" s="15" t="n">
        <v>161</v>
      </c>
      <c r="V4153" s="15">
        <f>ROUNDUP((T4153+U4153+2*'Read Me'!$B$13)*(1+'Read Me'!$B$12),-1)</f>
        <v/>
      </c>
      <c r="W4153" s="15">
        <f>V4153*N4153*O4153</f>
        <v/>
      </c>
      <c r="X4153" s="12">
        <f>IF(LEFT(I4153,2)="MV",2*N4153*IF(L4153="1/C",O4153,1),0)</f>
        <v/>
      </c>
      <c r="Y4153" s="12">
        <f>IF(OR(LEFT(K4153,4)="LVAX",LEFT(K4153,6)="MV15AX",LEFT(K4153,4)="CTAX",LEFT(K4153,2)="W|"),2*N4153*O4153,0)</f>
        <v/>
      </c>
      <c r="Z4153" s="12" t="inlineStr">
        <is>
          <t>VD 2.3 %</t>
        </is>
      </c>
      <c r="AA4153" s="12">
        <f>N4153*O4153</f>
        <v/>
      </c>
    </row>
    <row r="4154">
      <c r="A4154" s="12" t="inlineStr">
        <is>
          <t>H-P-0010</t>
        </is>
      </c>
      <c r="B4154" s="12" t="inlineStr">
        <is>
          <t>H</t>
        </is>
      </c>
      <c r="C4154" s="12" t="inlineStr">
        <is>
          <t>BESS</t>
        </is>
      </c>
      <c r="D4154" s="12" t="inlineStr">
        <is>
          <t>Motor 2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161</v>
      </c>
      <c r="V4154" s="15">
        <f>ROUNDUP((T4154+U4154+2*'Read Me'!$B$13)*(1+'Read Me'!$B$12),-1)</f>
        <v/>
      </c>
      <c r="W4154" s="15">
        <f>V4154*N4154*O4154</f>
        <v/>
      </c>
      <c r="X4154" s="12">
        <f>IF(LEFT(I4154,2)="MV",2*N4154*IF(L4154="1/C",O4154,1),0)</f>
        <v/>
      </c>
      <c r="Y4154" s="12">
        <f>IF(OR(LEFT(K4154,4)="LVAX",LEFT(K4154,6)="MV15AX",LEFT(K4154,4)="CTAX",LEFT(K4154,2)="W|"),2*N4154*O4154,0)</f>
        <v/>
      </c>
      <c r="Z4154" s="12" t="inlineStr">
        <is>
          <t>VD 2.3 %</t>
        </is>
      </c>
      <c r="AA4154" s="12">
        <f>N4154*O4154</f>
        <v/>
      </c>
    </row>
    <row r="4155">
      <c r="A4155" s="12" t="inlineStr">
        <is>
          <t>H-P-0011</t>
        </is>
      </c>
      <c r="B4155" s="12" t="inlineStr">
        <is>
          <t>H</t>
        </is>
      </c>
      <c r="C4155" s="12" t="inlineStr">
        <is>
          <t>BESS</t>
        </is>
      </c>
      <c r="D4155" s="12" t="inlineStr">
        <is>
          <t>Motor 1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178</v>
      </c>
      <c r="U4155" s="15" t="n">
        <v>181</v>
      </c>
      <c r="V4155" s="15">
        <f>ROUNDUP((T4155+U4155+2*'Read Me'!$B$13)*(1+'Read Me'!$B$12),-1)</f>
        <v/>
      </c>
      <c r="W4155" s="15">
        <f>V4155*N4155*O4155</f>
        <v/>
      </c>
      <c r="X4155" s="12">
        <f>IF(LEFT(I4155,2)="MV",2*N4155*IF(L4155="1/C",O4155,1),0)</f>
        <v/>
      </c>
      <c r="Y4155" s="12">
        <f>IF(OR(LEFT(K4155,4)="LVAX",LEFT(K4155,6)="MV15AX",LEFT(K4155,4)="CTAX",LEFT(K4155,2)="W|"),2*N4155*O4155,0)</f>
        <v/>
      </c>
      <c r="Z4155" s="12" t="inlineStr">
        <is>
          <t>VD 1.7 %</t>
        </is>
      </c>
      <c r="AA4155" s="12">
        <f>N4155*O4155</f>
        <v/>
      </c>
    </row>
    <row r="4156">
      <c r="A4156" s="12" t="inlineStr">
        <is>
          <t>H-P-0012</t>
        </is>
      </c>
      <c r="B4156" s="12" t="inlineStr">
        <is>
          <t>H</t>
        </is>
      </c>
      <c r="C4156" s="12" t="inlineStr">
        <is>
          <t>BESS</t>
        </is>
      </c>
      <c r="D4156" s="12" t="inlineStr">
        <is>
          <t>Motor 2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181</v>
      </c>
      <c r="V4156" s="15">
        <f>ROUNDUP((T4156+U4156+2*'Read Me'!$B$13)*(1+'Read Me'!$B$12),-1)</f>
        <v/>
      </c>
      <c r="W4156" s="15">
        <f>V4156*N4156*O4156</f>
        <v/>
      </c>
      <c r="X4156" s="12">
        <f>IF(LEFT(I4156,2)="MV",2*N4156*IF(L4156="1/C",O4156,1),0)</f>
        <v/>
      </c>
      <c r="Y4156" s="12">
        <f>IF(OR(LEFT(K4156,4)="LVAX",LEFT(K4156,6)="MV15AX",LEFT(K4156,4)="CTAX",LEFT(K4156,2)="W|"),2*N4156*O4156,0)</f>
        <v/>
      </c>
      <c r="Z4156" s="12" t="inlineStr">
        <is>
          <t>VD 1.7 %</t>
        </is>
      </c>
      <c r="AA4156" s="12">
        <f>N4156*O4156</f>
        <v/>
      </c>
    </row>
    <row r="4157">
      <c r="A4157" s="12" t="inlineStr">
        <is>
          <t>H-P-0013</t>
        </is>
      </c>
      <c r="B4157" s="12" t="inlineStr">
        <is>
          <t>H</t>
        </is>
      </c>
      <c r="C4157" s="12" t="inlineStr">
        <is>
          <t>BESS</t>
        </is>
      </c>
      <c r="D4157" s="12" t="inlineStr">
        <is>
          <t>Motor 1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74</v>
      </c>
      <c r="U4157" s="15" t="n">
        <v>165</v>
      </c>
      <c r="V4157" s="15">
        <f>ROUNDUP((T4157+U4157+2*'Read Me'!$B$13)*(1+'Read Me'!$B$12),-1)</f>
        <v/>
      </c>
      <c r="W4157" s="15">
        <f>V4157*N4157*O4157</f>
        <v/>
      </c>
      <c r="X4157" s="12">
        <f>IF(LEFT(I4157,2)="MV",2*N4157*IF(L4157="1/C",O4157,1),0)</f>
        <v/>
      </c>
      <c r="Y4157" s="12">
        <f>IF(OR(LEFT(K4157,4)="LVAX",LEFT(K4157,6)="MV15AX",LEFT(K4157,4)="CTAX",LEFT(K4157,2)="W|"),2*N4157*O4157,0)</f>
        <v/>
      </c>
      <c r="Z4157" s="12" t="inlineStr">
        <is>
          <t>VD 1.1 %</t>
        </is>
      </c>
      <c r="AA4157" s="12">
        <f>N4157*O4157</f>
        <v/>
      </c>
    </row>
    <row r="4158">
      <c r="A4158" s="12" t="inlineStr">
        <is>
          <t>H-P-0014</t>
        </is>
      </c>
      <c r="B4158" s="12" t="inlineStr">
        <is>
          <t>H</t>
        </is>
      </c>
      <c r="C4158" s="12" t="inlineStr">
        <is>
          <t>BESS</t>
        </is>
      </c>
      <c r="D4158" s="12" t="inlineStr">
        <is>
          <t>Motor 2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74</v>
      </c>
      <c r="U4158" s="15" t="n">
        <v>165</v>
      </c>
      <c r="V4158" s="15">
        <f>ROUNDUP((T4158+U4158+2*'Read Me'!$B$13)*(1+'Read Me'!$B$12),-1)</f>
        <v/>
      </c>
      <c r="W4158" s="15">
        <f>V4158*N4158*O4158</f>
        <v/>
      </c>
      <c r="X4158" s="12">
        <f>IF(LEFT(I4158,2)="MV",2*N4158*IF(L4158="1/C",O4158,1),0)</f>
        <v/>
      </c>
      <c r="Y4158" s="12">
        <f>IF(OR(LEFT(K4158,4)="LVAX",LEFT(K4158,6)="MV15AX",LEFT(K4158,4)="CTAX",LEFT(K4158,2)="W|"),2*N4158*O4158,0)</f>
        <v/>
      </c>
      <c r="Z4158" s="12" t="inlineStr">
        <is>
          <t>VD 1.1 %</t>
        </is>
      </c>
      <c r="AA4158" s="12">
        <f>N4158*O4158</f>
        <v/>
      </c>
    </row>
    <row r="4159">
      <c r="A4159" s="12" t="inlineStr">
        <is>
          <t>H-P-0015</t>
        </is>
      </c>
      <c r="B4159" s="12" t="inlineStr">
        <is>
          <t>H</t>
        </is>
      </c>
      <c r="C4159" s="12" t="inlineStr">
        <is>
          <t>BESS</t>
        </is>
      </c>
      <c r="D4159" s="12" t="inlineStr">
        <is>
          <t>Motor 1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318</v>
      </c>
      <c r="U4159" s="15" t="n">
        <v>219</v>
      </c>
      <c r="V4159" s="15">
        <f>ROUNDUP((T4159+U4159+2*'Read Me'!$B$13)*(1+'Read Me'!$B$12),-1)</f>
        <v/>
      </c>
      <c r="W4159" s="15">
        <f>V4159*N4159*O4159</f>
        <v/>
      </c>
      <c r="X4159" s="12">
        <f>IF(LEFT(I4159,2)="MV",2*N4159*IF(L4159="1/C",O4159,1),0)</f>
        <v/>
      </c>
      <c r="Y4159" s="12">
        <f>IF(OR(LEFT(K4159,4)="LVAX",LEFT(K4159,6)="MV15AX",LEFT(K4159,4)="CTAX",LEFT(K4159,2)="W|"),2*N4159*O4159,0)</f>
        <v/>
      </c>
      <c r="Z4159" s="12" t="inlineStr">
        <is>
          <t>VD 2.6 %</t>
        </is>
      </c>
      <c r="AA4159" s="12">
        <f>N4159*O4159</f>
        <v/>
      </c>
    </row>
    <row r="4160">
      <c r="A4160" s="12" t="inlineStr">
        <is>
          <t>H-P-0016</t>
        </is>
      </c>
      <c r="B4160" s="12" t="inlineStr">
        <is>
          <t>H</t>
        </is>
      </c>
      <c r="C4160" s="12" t="inlineStr">
        <is>
          <t>BESS</t>
        </is>
      </c>
      <c r="D4160" s="12" t="inlineStr">
        <is>
          <t>Motor 2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LV|3/C+G|10</t>
        </is>
      </c>
      <c r="L4160" s="12" t="inlineStr">
        <is>
          <t>3/C+G</t>
        </is>
      </c>
      <c r="M4160" s="12" t="inlineStr">
        <is>
          <t>10</t>
        </is>
      </c>
      <c r="N4160" s="12" t="n">
        <v>1</v>
      </c>
      <c r="O4160" s="12" t="n">
        <v>1</v>
      </c>
      <c r="P4160" s="12" t="n">
        <v>480</v>
      </c>
      <c r="Q4160" s="12" t="n">
        <v>7</v>
      </c>
      <c r="R4160" s="12" t="n">
        <v>9.9</v>
      </c>
      <c r="S4160" s="12" t="inlineStr">
        <is>
          <t>Duct bank</t>
        </is>
      </c>
      <c r="T4160" s="15" t="n">
        <v>318</v>
      </c>
      <c r="U4160" s="15" t="n">
        <v>219</v>
      </c>
      <c r="V4160" s="15">
        <f>ROUNDUP((T4160+U4160+2*'Read Me'!$B$13)*(1+'Read Me'!$B$12),-1)</f>
        <v/>
      </c>
      <c r="W4160" s="15">
        <f>V4160*N4160*O4160</f>
        <v/>
      </c>
      <c r="X4160" s="12">
        <f>IF(LEFT(I4160,2)="MV",2*N4160*IF(L4160="1/C",O4160,1),0)</f>
        <v/>
      </c>
      <c r="Y4160" s="12">
        <f>IF(OR(LEFT(K4160,4)="LVAX",LEFT(K4160,6)="MV15AX",LEFT(K4160,4)="CTAX",LEFT(K4160,2)="W|"),2*N4160*O4160,0)</f>
        <v/>
      </c>
      <c r="Z4160" s="12" t="inlineStr">
        <is>
          <t>VD 2.6 %</t>
        </is>
      </c>
      <c r="AA4160" s="12">
        <f>N4160*O4160</f>
        <v/>
      </c>
    </row>
    <row r="4161">
      <c r="A4161" s="12" t="inlineStr">
        <is>
          <t>H-P-0017</t>
        </is>
      </c>
      <c r="B4161" s="12" t="inlineStr">
        <is>
          <t>H</t>
        </is>
      </c>
      <c r="C4161" s="12" t="inlineStr">
        <is>
          <t>BESS</t>
        </is>
      </c>
      <c r="D4161" s="12" t="inlineStr">
        <is>
          <t>Motor 1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LV|3/C+G|10</t>
        </is>
      </c>
      <c r="L4161" s="12" t="inlineStr">
        <is>
          <t>3/C+G</t>
        </is>
      </c>
      <c r="M4161" s="12" t="inlineStr">
        <is>
          <t>10</t>
        </is>
      </c>
      <c r="N4161" s="12" t="n">
        <v>1</v>
      </c>
      <c r="O4161" s="12" t="n">
        <v>1</v>
      </c>
      <c r="P4161" s="12" t="n">
        <v>480</v>
      </c>
      <c r="Q4161" s="12" t="n">
        <v>7</v>
      </c>
      <c r="R4161" s="12" t="n">
        <v>9.9</v>
      </c>
      <c r="S4161" s="12" t="inlineStr">
        <is>
          <t>Duct bank</t>
        </is>
      </c>
      <c r="T4161" s="15" t="n">
        <v>178</v>
      </c>
      <c r="U4161" s="15" t="n">
        <v>239</v>
      </c>
      <c r="V4161" s="15">
        <f>ROUNDUP((T4161+U4161+2*'Read Me'!$B$13)*(1+'Read Me'!$B$12),-1)</f>
        <v/>
      </c>
      <c r="W4161" s="15">
        <f>V4161*N4161*O4161</f>
        <v/>
      </c>
      <c r="X4161" s="12">
        <f>IF(LEFT(I4161,2)="MV",2*N4161*IF(L4161="1/C",O4161,1),0)</f>
        <v/>
      </c>
      <c r="Y4161" s="12">
        <f>IF(OR(LEFT(K4161,4)="LVAX",LEFT(K4161,6)="MV15AX",LEFT(K4161,4)="CTAX",LEFT(K4161,2)="W|"),2*N4161*O4161,0)</f>
        <v/>
      </c>
      <c r="Z4161" s="12" t="inlineStr">
        <is>
          <t>VD 2.0 %</t>
        </is>
      </c>
      <c r="AA4161" s="12">
        <f>N4161*O4161</f>
        <v/>
      </c>
    </row>
    <row r="4162">
      <c r="A4162" s="12" t="inlineStr">
        <is>
          <t>H-P-0018</t>
        </is>
      </c>
      <c r="B4162" s="12" t="inlineStr">
        <is>
          <t>H</t>
        </is>
      </c>
      <c r="C4162" s="12" t="inlineStr">
        <is>
          <t>BESS</t>
        </is>
      </c>
      <c r="D4162" s="12" t="inlineStr">
        <is>
          <t>Motor 2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178</v>
      </c>
      <c r="U4162" s="15" t="n">
        <v>239</v>
      </c>
      <c r="V4162" s="15">
        <f>ROUNDUP((T4162+U4162+2*'Read Me'!$B$13)*(1+'Read Me'!$B$12),-1)</f>
        <v/>
      </c>
      <c r="W4162" s="15">
        <f>V4162*N4162*O4162</f>
        <v/>
      </c>
      <c r="X4162" s="12">
        <f>IF(LEFT(I4162,2)="MV",2*N4162*IF(L4162="1/C",O4162,1),0)</f>
        <v/>
      </c>
      <c r="Y4162" s="12">
        <f>IF(OR(LEFT(K4162,4)="LVAX",LEFT(K4162,6)="MV15AX",LEFT(K4162,4)="CTAX",LEFT(K4162,2)="W|"),2*N4162*O4162,0)</f>
        <v/>
      </c>
      <c r="Z4162" s="12" t="inlineStr">
        <is>
          <t>VD 2.0 %</t>
        </is>
      </c>
      <c r="AA4162" s="12">
        <f>N4162*O4162</f>
        <v/>
      </c>
    </row>
    <row r="4163">
      <c r="A4163" s="12" t="inlineStr">
        <is>
          <t>H-P-0019</t>
        </is>
      </c>
      <c r="B4163" s="12" t="inlineStr">
        <is>
          <t>H</t>
        </is>
      </c>
      <c r="C4163" s="12" t="inlineStr">
        <is>
          <t>BESS</t>
        </is>
      </c>
      <c r="D4163" s="12" t="inlineStr">
        <is>
          <t>Motor 1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380</v>
      </c>
      <c r="U4163" s="15" t="n">
        <v>149</v>
      </c>
      <c r="V4163" s="15">
        <f>ROUNDUP((T4163+U4163+2*'Read Me'!$B$13)*(1+'Read Me'!$B$12),-1)</f>
        <v/>
      </c>
      <c r="W4163" s="15">
        <f>V4163*N4163*O4163</f>
        <v/>
      </c>
      <c r="X4163" s="12">
        <f>IF(LEFT(I4163,2)="MV",2*N4163*IF(L4163="1/C",O4163,1),0)</f>
        <v/>
      </c>
      <c r="Y4163" s="12">
        <f>IF(OR(LEFT(K4163,4)="LVAX",LEFT(K4163,6)="MV15AX",LEFT(K4163,4)="CTAX",LEFT(K4163,2)="W|"),2*N4163*O4163,0)</f>
        <v/>
      </c>
      <c r="Z4163" s="12" t="inlineStr">
        <is>
          <t>VD 2.5 %</t>
        </is>
      </c>
      <c r="AA4163" s="12">
        <f>N4163*O4163</f>
        <v/>
      </c>
    </row>
    <row r="4164">
      <c r="A4164" s="12" t="inlineStr">
        <is>
          <t>H-P-0020</t>
        </is>
      </c>
      <c r="B4164" s="12" t="inlineStr">
        <is>
          <t>H</t>
        </is>
      </c>
      <c r="C4164" s="12" t="inlineStr">
        <is>
          <t>BESS</t>
        </is>
      </c>
      <c r="D4164" s="12" t="inlineStr">
        <is>
          <t>Motor 2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149</v>
      </c>
      <c r="V4164" s="15">
        <f>ROUNDUP((T4164+U4164+2*'Read Me'!$B$13)*(1+'Read Me'!$B$12),-1)</f>
        <v/>
      </c>
      <c r="W4164" s="15">
        <f>V4164*N4164*O4164</f>
        <v/>
      </c>
      <c r="X4164" s="12">
        <f>IF(LEFT(I4164,2)="MV",2*N4164*IF(L4164="1/C",O4164,1),0)</f>
        <v/>
      </c>
      <c r="Y4164" s="12">
        <f>IF(OR(LEFT(K4164,4)="LVAX",LEFT(K4164,6)="MV15AX",LEFT(K4164,4)="CTAX",LEFT(K4164,2)="W|"),2*N4164*O4164,0)</f>
        <v/>
      </c>
      <c r="Z4164" s="12" t="inlineStr">
        <is>
          <t>VD 2.5 %</t>
        </is>
      </c>
      <c r="AA4164" s="12">
        <f>N4164*O4164</f>
        <v/>
      </c>
    </row>
    <row r="4165">
      <c r="A4165" s="12" t="inlineStr">
        <is>
          <t>H-P-0021</t>
        </is>
      </c>
      <c r="B4165" s="12" t="inlineStr">
        <is>
          <t>H</t>
        </is>
      </c>
      <c r="C4165" s="12" t="inlineStr">
        <is>
          <t>BESS</t>
        </is>
      </c>
      <c r="D4165" s="12" t="inlineStr">
        <is>
          <t>Motor 1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LV|3/C+G|8</t>
        </is>
      </c>
      <c r="L4165" s="12" t="inlineStr">
        <is>
          <t>3/C+G</t>
        </is>
      </c>
      <c r="M4165" s="12" t="inlineStr">
        <is>
          <t>8</t>
        </is>
      </c>
      <c r="N4165" s="12" t="n">
        <v>1</v>
      </c>
      <c r="O4165" s="12" t="n">
        <v>1</v>
      </c>
      <c r="P4165" s="12" t="n">
        <v>480</v>
      </c>
      <c r="Q4165" s="12" t="n">
        <v>7</v>
      </c>
      <c r="R4165" s="12" t="n">
        <v>9.9</v>
      </c>
      <c r="S4165" s="12" t="inlineStr">
        <is>
          <t>Duct bank</t>
        </is>
      </c>
      <c r="T4165" s="15" t="n">
        <v>620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2.1 %</t>
        </is>
      </c>
      <c r="AA4165" s="12">
        <f>N4165*O4165</f>
        <v/>
      </c>
    </row>
    <row r="4166">
      <c r="A4166" s="12" t="inlineStr">
        <is>
          <t>H-P-0022</t>
        </is>
      </c>
      <c r="B4166" s="12" t="inlineStr">
        <is>
          <t>H</t>
        </is>
      </c>
      <c r="C4166" s="12" t="inlineStr">
        <is>
          <t>BESS</t>
        </is>
      </c>
      <c r="D4166" s="12" t="inlineStr">
        <is>
          <t>Motor 2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91</v>
      </c>
      <c r="V4166" s="15">
        <f>ROUNDUP((T4166+U4166+2*'Read Me'!$B$13)*(1+'Read Me'!$B$12),-1)</f>
        <v/>
      </c>
      <c r="W4166" s="15">
        <f>V4166*N4166*O4166</f>
        <v/>
      </c>
      <c r="X4166" s="12">
        <f>IF(LEFT(I4166,2)="MV",2*N4166*IF(L4166="1/C",O4166,1),0)</f>
        <v/>
      </c>
      <c r="Y4166" s="12">
        <f>IF(OR(LEFT(K4166,4)="LVAX",LEFT(K4166,6)="MV15AX",LEFT(K4166,4)="CTAX",LEFT(K4166,2)="W|"),2*N4166*O4166,0)</f>
        <v/>
      </c>
      <c r="Z4166" s="12" t="inlineStr">
        <is>
          <t>VD 2.1 %</t>
        </is>
      </c>
      <c r="AA4166" s="12">
        <f>N4166*O4166</f>
        <v/>
      </c>
    </row>
    <row r="4167">
      <c r="A4167" s="12" t="inlineStr">
        <is>
          <t>H-P-0023</t>
        </is>
      </c>
      <c r="B4167" s="12" t="inlineStr">
        <is>
          <t>H</t>
        </is>
      </c>
      <c r="C4167" s="12" t="inlineStr">
        <is>
          <t>BESS</t>
        </is>
      </c>
      <c r="D4167" s="12" t="inlineStr">
        <is>
          <t>Motor 1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LV|3/C+G|10</t>
        </is>
      </c>
      <c r="L4167" s="12" t="inlineStr">
        <is>
          <t>3/C+G</t>
        </is>
      </c>
      <c r="M4167" s="12" t="inlineStr">
        <is>
          <t>10</t>
        </is>
      </c>
      <c r="N4167" s="12" t="n">
        <v>1</v>
      </c>
      <c r="O4167" s="12" t="n">
        <v>1</v>
      </c>
      <c r="P4167" s="12" t="n">
        <v>480</v>
      </c>
      <c r="Q4167" s="12" t="n">
        <v>7</v>
      </c>
      <c r="R4167" s="12" t="n">
        <v>9.9</v>
      </c>
      <c r="S4167" s="12" t="inlineStr">
        <is>
          <t>Duct bank</t>
        </is>
      </c>
      <c r="T4167" s="15" t="n">
        <v>500</v>
      </c>
      <c r="U4167" s="15" t="n">
        <v>91</v>
      </c>
      <c r="V4167" s="15">
        <f>ROUNDUP((T4167+U4167+2*'Read Me'!$B$13)*(1+'Read Me'!$B$12),-1)</f>
        <v/>
      </c>
      <c r="W4167" s="15">
        <f>V4167*N4167*O4167</f>
        <v/>
      </c>
      <c r="X4167" s="12">
        <f>IF(LEFT(I4167,2)="MV",2*N4167*IF(L4167="1/C",O4167,1),0)</f>
        <v/>
      </c>
      <c r="Y4167" s="12">
        <f>IF(OR(LEFT(K4167,4)="LVAX",LEFT(K4167,6)="MV15AX",LEFT(K4167,4)="CTAX",LEFT(K4167,2)="W|"),2*N4167*O4167,0)</f>
        <v/>
      </c>
      <c r="Z4167" s="12" t="inlineStr">
        <is>
          <t>VD 2.8 %</t>
        </is>
      </c>
      <c r="AA4167" s="12">
        <f>N4167*O4167</f>
        <v/>
      </c>
    </row>
    <row r="4168">
      <c r="A4168" s="12" t="inlineStr">
        <is>
          <t>H-P-0024</t>
        </is>
      </c>
      <c r="B4168" s="12" t="inlineStr">
        <is>
          <t>H</t>
        </is>
      </c>
      <c r="C4168" s="12" t="inlineStr">
        <is>
          <t>BESS</t>
        </is>
      </c>
      <c r="D4168" s="12" t="inlineStr">
        <is>
          <t>Motor 2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91</v>
      </c>
      <c r="V4168" s="15">
        <f>ROUNDUP((T4168+U4168+2*'Read Me'!$B$13)*(1+'Read Me'!$B$12),-1)</f>
        <v/>
      </c>
      <c r="W4168" s="15">
        <f>V4168*N4168*O4168</f>
        <v/>
      </c>
      <c r="X4168" s="12">
        <f>IF(LEFT(I4168,2)="MV",2*N4168*IF(L4168="1/C",O4168,1),0)</f>
        <v/>
      </c>
      <c r="Y4168" s="12">
        <f>IF(OR(LEFT(K4168,4)="LVAX",LEFT(K4168,6)="MV15AX",LEFT(K4168,4)="CTAX",LEFT(K4168,2)="W|"),2*N4168*O4168,0)</f>
        <v/>
      </c>
      <c r="Z4168" s="12" t="inlineStr">
        <is>
          <t>VD 2.8 %</t>
        </is>
      </c>
      <c r="AA4168" s="12">
        <f>N4168*O4168</f>
        <v/>
      </c>
    </row>
    <row r="4169">
      <c r="A4169" s="12" t="inlineStr">
        <is>
          <t>H-P-0025</t>
        </is>
      </c>
      <c r="B4169" s="12" t="inlineStr">
        <is>
          <t>H</t>
        </is>
      </c>
      <c r="C4169" s="12" t="inlineStr">
        <is>
          <t>BESS</t>
        </is>
      </c>
      <c r="D4169" s="12" t="inlineStr">
        <is>
          <t>Motor 1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380</v>
      </c>
      <c r="U4169" s="15" t="n">
        <v>91</v>
      </c>
      <c r="V4169" s="15">
        <f>ROUNDUP((T4169+U4169+2*'Read Me'!$B$13)*(1+'Read Me'!$B$12),-1)</f>
        <v/>
      </c>
      <c r="W4169" s="15">
        <f>V4169*N4169*O4169</f>
        <v/>
      </c>
      <c r="X4169" s="12">
        <f>IF(LEFT(I4169,2)="MV",2*N4169*IF(L4169="1/C",O4169,1),0)</f>
        <v/>
      </c>
      <c r="Y4169" s="12">
        <f>IF(OR(LEFT(K4169,4)="LVAX",LEFT(K4169,6)="MV15AX",LEFT(K4169,4)="CTAX",LEFT(K4169,2)="W|"),2*N4169*O4169,0)</f>
        <v/>
      </c>
      <c r="Z4169" s="12" t="inlineStr">
        <is>
          <t>VD 2.2 %</t>
        </is>
      </c>
      <c r="AA4169" s="12">
        <f>N4169*O4169</f>
        <v/>
      </c>
    </row>
    <row r="4170">
      <c r="A4170" s="12" t="inlineStr">
        <is>
          <t>H-P-0026</t>
        </is>
      </c>
      <c r="B4170" s="12" t="inlineStr">
        <is>
          <t>H</t>
        </is>
      </c>
      <c r="C4170" s="12" t="inlineStr">
        <is>
          <t>BESS</t>
        </is>
      </c>
      <c r="D4170" s="12" t="inlineStr">
        <is>
          <t>Motor 2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91</v>
      </c>
      <c r="V4170" s="15">
        <f>ROUNDUP((T4170+U4170+2*'Read Me'!$B$13)*(1+'Read Me'!$B$12),-1)</f>
        <v/>
      </c>
      <c r="W4170" s="15">
        <f>V4170*N4170*O4170</f>
        <v/>
      </c>
      <c r="X4170" s="12">
        <f>IF(LEFT(I4170,2)="MV",2*N4170*IF(L4170="1/C",O4170,1),0)</f>
        <v/>
      </c>
      <c r="Y4170" s="12">
        <f>IF(OR(LEFT(K4170,4)="LVAX",LEFT(K4170,6)="MV15AX",LEFT(K4170,4)="CTAX",LEFT(K4170,2)="W|"),2*N4170*O4170,0)</f>
        <v/>
      </c>
      <c r="Z4170" s="12" t="inlineStr">
        <is>
          <t>VD 2.2 %</t>
        </is>
      </c>
      <c r="AA4170" s="12">
        <f>N4170*O4170</f>
        <v/>
      </c>
    </row>
    <row r="4171">
      <c r="A4171" s="12" t="inlineStr">
        <is>
          <t>H-P-0027</t>
        </is>
      </c>
      <c r="B4171" s="12" t="inlineStr">
        <is>
          <t>H</t>
        </is>
      </c>
      <c r="C4171" s="12" t="inlineStr">
        <is>
          <t>BESS</t>
        </is>
      </c>
      <c r="D4171" s="12" t="inlineStr">
        <is>
          <t>Motor 1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LV|3/C+G|8</t>
        </is>
      </c>
      <c r="L4171" s="12" t="inlineStr">
        <is>
          <t>3/C+G</t>
        </is>
      </c>
      <c r="M4171" s="12" t="inlineStr">
        <is>
          <t>8</t>
        </is>
      </c>
      <c r="N4171" s="12" t="n">
        <v>1</v>
      </c>
      <c r="O4171" s="12" t="n">
        <v>1</v>
      </c>
      <c r="P4171" s="12" t="n">
        <v>480</v>
      </c>
      <c r="Q4171" s="12" t="n">
        <v>7</v>
      </c>
      <c r="R4171" s="12" t="n">
        <v>9.9</v>
      </c>
      <c r="S4171" s="12" t="inlineStr">
        <is>
          <t>Duct bank</t>
        </is>
      </c>
      <c r="T4171" s="15" t="n">
        <v>620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H-P-0028</t>
        </is>
      </c>
      <c r="B4172" s="12" t="inlineStr">
        <is>
          <t>H</t>
        </is>
      </c>
      <c r="C4172" s="12" t="inlineStr">
        <is>
          <t>BESS</t>
        </is>
      </c>
      <c r="D4172" s="12" t="inlineStr">
        <is>
          <t>Motor 2 of 2, 7 kW</t>
        </is>
      </c>
      <c r="E4172" s="12" t="inlineStr"/>
      <c r="F4172" s="12" t="inlineStr">
        <is>
          <t>BESS auxiliary transformer</t>
        </is>
      </c>
      <c r="G4172" s="12" t="inlineStr"/>
      <c r="H4172" s="12" t="inlineStr">
        <is>
          <t>BESS PCS / MV skid</t>
        </is>
      </c>
      <c r="I4172" s="12" t="inlineStr">
        <is>
          <t>LV 600 V</t>
        </is>
      </c>
      <c r="J4172" s="12" t="inlineStr">
        <is>
          <t>Type TC-ER 600 V 3/C Cu XHHW-2 + ground, PVC jacket</t>
        </is>
      </c>
      <c r="K4172" s="12" t="inlineStr">
        <is>
          <t>LV|3/C+G|8</t>
        </is>
      </c>
      <c r="L4172" s="12" t="inlineStr">
        <is>
          <t>3/C+G</t>
        </is>
      </c>
      <c r="M4172" s="12" t="inlineStr">
        <is>
          <t>8</t>
        </is>
      </c>
      <c r="N4172" s="12" t="n">
        <v>1</v>
      </c>
      <c r="O4172" s="12" t="n">
        <v>1</v>
      </c>
      <c r="P4172" s="12" t="n">
        <v>480</v>
      </c>
      <c r="Q4172" s="12" t="n">
        <v>7</v>
      </c>
      <c r="R4172" s="12" t="n">
        <v>9.9</v>
      </c>
      <c r="S4172" s="12" t="inlineStr">
        <is>
          <t>Duct bank</t>
        </is>
      </c>
      <c r="T4172" s="15" t="n">
        <v>620</v>
      </c>
      <c r="U4172" s="15" t="n">
        <v>37</v>
      </c>
      <c r="V4172" s="15">
        <f>ROUNDUP((T4172+U4172+2*'Read Me'!$B$13)*(1+'Read Me'!$B$12),-1)</f>
        <v/>
      </c>
      <c r="W4172" s="15">
        <f>V4172*N4172*O4172</f>
        <v/>
      </c>
      <c r="X4172" s="12">
        <f>IF(LEFT(I4172,2)="MV",2*N4172*IF(L4172="1/C",O4172,1),0)</f>
        <v/>
      </c>
      <c r="Y4172" s="12">
        <f>IF(OR(LEFT(K4172,4)="LVAX",LEFT(K4172,6)="MV15AX",LEFT(K4172,4)="CTAX",LEFT(K4172,2)="W|"),2*N4172*O4172,0)</f>
        <v/>
      </c>
      <c r="Z4172" s="12" t="inlineStr">
        <is>
          <t>VD 2.0 %</t>
        </is>
      </c>
      <c r="AA4172" s="12">
        <f>N4172*O4172</f>
        <v/>
      </c>
    </row>
    <row r="4173">
      <c r="A4173" s="12" t="inlineStr">
        <is>
          <t>H-P-0029</t>
        </is>
      </c>
      <c r="B4173" s="12" t="inlineStr">
        <is>
          <t>H</t>
        </is>
      </c>
      <c r="C4173" s="12" t="inlineStr">
        <is>
          <t>BESS</t>
        </is>
      </c>
      <c r="D4173" s="12" t="inlineStr">
        <is>
          <t>Motor 1 of 2, 7 kW</t>
        </is>
      </c>
      <c r="E4173" s="12" t="inlineStr"/>
      <c r="F4173" s="12" t="inlineStr">
        <is>
          <t>BESS auxiliary transformer</t>
        </is>
      </c>
      <c r="G4173" s="12" t="inlineStr"/>
      <c r="H4173" s="12" t="inlineStr">
        <is>
          <t>BESS PCS / MV skid</t>
        </is>
      </c>
      <c r="I4173" s="12" t="inlineStr">
        <is>
          <t>LV 600 V</t>
        </is>
      </c>
      <c r="J4173" s="12" t="inlineStr">
        <is>
          <t>Type TC-ER 600 V 3/C Cu XHHW-2 + ground, PVC jacket</t>
        </is>
      </c>
      <c r="K4173" s="12" t="inlineStr">
        <is>
          <t>LV|3/C+G|10</t>
        </is>
      </c>
      <c r="L4173" s="12" t="inlineStr">
        <is>
          <t>3/C+G</t>
        </is>
      </c>
      <c r="M4173" s="12" t="inlineStr">
        <is>
          <t>10</t>
        </is>
      </c>
      <c r="N4173" s="12" t="n">
        <v>1</v>
      </c>
      <c r="O4173" s="12" t="n">
        <v>1</v>
      </c>
      <c r="P4173" s="12" t="n">
        <v>480</v>
      </c>
      <c r="Q4173" s="12" t="n">
        <v>7</v>
      </c>
      <c r="R4173" s="12" t="n">
        <v>9.9</v>
      </c>
      <c r="S4173" s="12" t="inlineStr">
        <is>
          <t>Duct bank</t>
        </is>
      </c>
      <c r="T4173" s="15" t="n">
        <v>500</v>
      </c>
      <c r="U4173" s="15" t="n">
        <v>37</v>
      </c>
      <c r="V4173" s="15">
        <f>ROUNDUP((T4173+U4173+2*'Read Me'!$B$13)*(1+'Read Me'!$B$12),-1)</f>
        <v/>
      </c>
      <c r="W4173" s="15">
        <f>V4173*N4173*O4173</f>
        <v/>
      </c>
      <c r="X4173" s="12">
        <f>IF(LEFT(I4173,2)="MV",2*N4173*IF(L4173="1/C",O4173,1),0)</f>
        <v/>
      </c>
      <c r="Y4173" s="12">
        <f>IF(OR(LEFT(K4173,4)="LVAX",LEFT(K4173,6)="MV15AX",LEFT(K4173,4)="CTAX",LEFT(K4173,2)="W|"),2*N4173*O4173,0)</f>
        <v/>
      </c>
      <c r="Z4173" s="12" t="inlineStr">
        <is>
          <t>VD 2.6 %</t>
        </is>
      </c>
      <c r="AA4173" s="12">
        <f>N4173*O4173</f>
        <v/>
      </c>
    </row>
    <row r="4174">
      <c r="A4174" s="12" t="inlineStr">
        <is>
          <t>H-P-0030</t>
        </is>
      </c>
      <c r="B4174" s="12" t="inlineStr">
        <is>
          <t>H</t>
        </is>
      </c>
      <c r="C4174" s="12" t="inlineStr">
        <is>
          <t>BESS</t>
        </is>
      </c>
      <c r="D4174" s="12" t="inlineStr">
        <is>
          <t>Motor 2 of 2, 7 kW</t>
        </is>
      </c>
      <c r="E4174" s="12" t="inlineStr"/>
      <c r="F4174" s="12" t="inlineStr">
        <is>
          <t>BESS auxiliary transformer</t>
        </is>
      </c>
      <c r="G4174" s="12" t="inlineStr"/>
      <c r="H4174" s="12" t="inlineStr">
        <is>
          <t>BESS PCS / MV skid</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7</v>
      </c>
      <c r="R4174" s="12" t="n">
        <v>9.9</v>
      </c>
      <c r="S4174" s="12" t="inlineStr">
        <is>
          <t>Duct bank</t>
        </is>
      </c>
      <c r="T4174" s="15" t="n">
        <v>500</v>
      </c>
      <c r="U4174" s="15" t="n">
        <v>37</v>
      </c>
      <c r="V4174" s="15">
        <f>ROUNDUP((T4174+U4174+2*'Read Me'!$B$13)*(1+'Read Me'!$B$12),-1)</f>
        <v/>
      </c>
      <c r="W4174" s="15">
        <f>V4174*N4174*O4174</f>
        <v/>
      </c>
      <c r="X4174" s="12">
        <f>IF(LEFT(I4174,2)="MV",2*N4174*IF(L4174="1/C",O4174,1),0)</f>
        <v/>
      </c>
      <c r="Y4174" s="12">
        <f>IF(OR(LEFT(K4174,4)="LVAX",LEFT(K4174,6)="MV15AX",LEFT(K4174,4)="CTAX",LEFT(K4174,2)="W|"),2*N4174*O4174,0)</f>
        <v/>
      </c>
      <c r="Z4174" s="12" t="inlineStr">
        <is>
          <t>VD 2.6 %</t>
        </is>
      </c>
      <c r="AA4174" s="12">
        <f>N4174*O4174</f>
        <v/>
      </c>
    </row>
    <row r="4175">
      <c r="A4175" s="12" t="inlineStr">
        <is>
          <t>H-P-0031</t>
        </is>
      </c>
      <c r="B4175" s="12" t="inlineStr">
        <is>
          <t>H</t>
        </is>
      </c>
      <c r="C4175" s="12" t="inlineStr">
        <is>
          <t>BESS</t>
        </is>
      </c>
      <c r="D4175" s="12" t="inlineStr">
        <is>
          <t>Motor 1 of 2, 7 kW</t>
        </is>
      </c>
      <c r="E4175" s="12" t="inlineStr"/>
      <c r="F4175" s="12" t="inlineStr">
        <is>
          <t>BESS auxiliary transformer</t>
        </is>
      </c>
      <c r="G4175" s="12" t="inlineStr"/>
      <c r="H4175" s="12" t="inlineStr">
        <is>
          <t>BESS PCS / MV skid</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7</v>
      </c>
      <c r="R4175" s="12" t="n">
        <v>9.9</v>
      </c>
      <c r="S4175" s="12" t="inlineStr">
        <is>
          <t>Duct bank</t>
        </is>
      </c>
      <c r="T4175" s="15" t="n">
        <v>380</v>
      </c>
      <c r="U4175" s="15" t="n">
        <v>37</v>
      </c>
      <c r="V4175" s="15">
        <f>ROUNDUP((T4175+U4175+2*'Read Me'!$B$13)*(1+'Read Me'!$B$12),-1)</f>
        <v/>
      </c>
      <c r="W4175" s="15">
        <f>V4175*N4175*O4175</f>
        <v/>
      </c>
      <c r="X4175" s="12">
        <f>IF(LEFT(I4175,2)="MV",2*N4175*IF(L4175="1/C",O4175,1),0)</f>
        <v/>
      </c>
      <c r="Y4175" s="12">
        <f>IF(OR(LEFT(K4175,4)="LVAX",LEFT(K4175,6)="MV15AX",LEFT(K4175,4)="CTAX",LEFT(K4175,2)="W|"),2*N4175*O4175,0)</f>
        <v/>
      </c>
      <c r="Z4175" s="12" t="inlineStr">
        <is>
          <t>VD 2.0 %</t>
        </is>
      </c>
      <c r="AA4175" s="12">
        <f>N4175*O4175</f>
        <v/>
      </c>
    </row>
    <row r="4176">
      <c r="A4176" s="12" t="inlineStr">
        <is>
          <t>H-P-0032</t>
        </is>
      </c>
      <c r="B4176" s="12" t="inlineStr">
        <is>
          <t>H</t>
        </is>
      </c>
      <c r="C4176" s="12" t="inlineStr">
        <is>
          <t>BESS</t>
        </is>
      </c>
      <c r="D4176" s="12" t="inlineStr">
        <is>
          <t>Motor 2 of 2, 7 kW</t>
        </is>
      </c>
      <c r="E4176" s="12" t="inlineStr"/>
      <c r="F4176" s="12" t="inlineStr">
        <is>
          <t>BESS auxiliary transformer</t>
        </is>
      </c>
      <c r="G4176" s="12" t="inlineStr"/>
      <c r="H4176" s="12" t="inlineStr">
        <is>
          <t>BESS PCS / MV skid</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7</v>
      </c>
      <c r="R4176" s="12" t="n">
        <v>9.9</v>
      </c>
      <c r="S4176" s="12" t="inlineStr">
        <is>
          <t>Duct bank</t>
        </is>
      </c>
      <c r="T4176" s="15" t="n">
        <v>380</v>
      </c>
      <c r="U4176" s="15" t="n">
        <v>37</v>
      </c>
      <c r="V4176" s="15">
        <f>ROUNDUP((T4176+U4176+2*'Read Me'!$B$13)*(1+'Read Me'!$B$12),-1)</f>
        <v/>
      </c>
      <c r="W4176" s="15">
        <f>V4176*N4176*O4176</f>
        <v/>
      </c>
      <c r="X4176" s="12">
        <f>IF(LEFT(I4176,2)="MV",2*N4176*IF(L4176="1/C",O4176,1),0)</f>
        <v/>
      </c>
      <c r="Y4176" s="12">
        <f>IF(OR(LEFT(K4176,4)="LVAX",LEFT(K4176,6)="MV15AX",LEFT(K4176,4)="CTAX",LEFT(K4176,2)="W|"),2*N4176*O4176,0)</f>
        <v/>
      </c>
      <c r="Z4176" s="12" t="inlineStr">
        <is>
          <t>VD 2.0 %</t>
        </is>
      </c>
      <c r="AA4176" s="12">
        <f>N4176*O4176</f>
        <v/>
      </c>
    </row>
    <row r="4177">
      <c r="A4177" s="12" t="inlineStr">
        <is>
          <t>H-P-0033</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Duct bank</t>
        </is>
      </c>
      <c r="T4177" s="15" t="n">
        <v>10</v>
      </c>
      <c r="U4177" s="15" t="n">
        <v>150</v>
      </c>
      <c r="V4177" s="15">
        <f>ROUNDUP((T4177+U4177+2*'Read Me'!$B$13)*(1+'Read Me'!$B$12),-1)</f>
        <v/>
      </c>
      <c r="W4177" s="15">
        <f>V4177*N4177*O4177</f>
        <v/>
      </c>
      <c r="X4177" s="12">
        <f>IF(LEFT(I4177,2)="MV",2*N4177*IF(L4177="1/C",O4177,1),0)</f>
        <v/>
      </c>
      <c r="Y4177" s="12">
        <f>IF(OR(LEFT(K4177,4)="LVAX",LEFT(K4177,6)="MV15AX",LEFT(K4177,4)="CTAX",LEFT(K4177,2)="W|"),2*N4177*O4177,0)</f>
        <v/>
      </c>
      <c r="Z4177" s="12" t="inlineStr">
        <is>
          <t>VD 0.9 %</t>
        </is>
      </c>
      <c r="AA4177" s="12">
        <f>N4177*O4177</f>
        <v/>
      </c>
    </row>
    <row r="4178">
      <c r="A4178" s="12" t="inlineStr">
        <is>
          <t>H-P-0034</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Tray</t>
        </is>
      </c>
      <c r="T4178" s="15" t="n">
        <v>0</v>
      </c>
      <c r="U4178" s="15" t="n">
        <v>160</v>
      </c>
      <c r="V4178" s="15">
        <f>ROUNDUP((T4178+U4178+2*'Read Me'!$B$13)*(1+'Read Me'!$B$12),-1)</f>
        <v/>
      </c>
      <c r="W4178" s="15">
        <f>V4178*N4178*O4178</f>
        <v/>
      </c>
      <c r="X4178" s="12">
        <f>IF(LEFT(I4178,2)="MV",2*N4178*IF(L4178="1/C",O4178,1),0)</f>
        <v/>
      </c>
      <c r="Y4178" s="12">
        <f>IF(OR(LEFT(K4178,4)="LVAX",LEFT(K4178,6)="MV15AX",LEFT(K4178,4)="CTAX",LEFT(K4178,2)="W|"),2*N4178*O4178,0)</f>
        <v/>
      </c>
      <c r="Z4178" s="12" t="inlineStr">
        <is>
          <t>VD 0.9 %</t>
        </is>
      </c>
      <c r="AA4178" s="12">
        <f>N4178*O4178</f>
        <v/>
      </c>
    </row>
    <row r="4179">
      <c r="A4179" s="12" t="inlineStr">
        <is>
          <t>H-P-0035</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200</v>
      </c>
      <c r="V4179" s="15">
        <f>ROUNDUP((T4179+U4179+2*'Read Me'!$B$13)*(1+'Read Me'!$B$12),-1)</f>
        <v/>
      </c>
      <c r="W4179" s="15">
        <f>V4179*N4179*O4179</f>
        <v/>
      </c>
      <c r="X4179" s="12">
        <f>IF(LEFT(I4179,2)="MV",2*N4179*IF(L4179="1/C",O4179,1),0)</f>
        <v/>
      </c>
      <c r="Y4179" s="12">
        <f>IF(OR(LEFT(K4179,4)="LVAX",LEFT(K4179,6)="MV15AX",LEFT(K4179,4)="CTAX",LEFT(K4179,2)="W|"),2*N4179*O4179,0)</f>
        <v/>
      </c>
      <c r="Z4179" s="12" t="inlineStr">
        <is>
          <t>VD 1.2 %</t>
        </is>
      </c>
      <c r="AA4179" s="12">
        <f>N4179*O4179</f>
        <v/>
      </c>
    </row>
    <row r="4180">
      <c r="A4180" s="12" t="inlineStr">
        <is>
          <t>H-P-0036</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200</v>
      </c>
      <c r="V4180" s="15">
        <f>ROUNDUP((T4180+U4180+2*'Read Me'!$B$13)*(1+'Read Me'!$B$12),-1)</f>
        <v/>
      </c>
      <c r="W4180" s="15">
        <f>V4180*N4180*O4180</f>
        <v/>
      </c>
      <c r="X4180" s="12">
        <f>IF(LEFT(I4180,2)="MV",2*N4180*IF(L4180="1/C",O4180,1),0)</f>
        <v/>
      </c>
      <c r="Y4180" s="12">
        <f>IF(OR(LEFT(K4180,4)="LVAX",LEFT(K4180,6)="MV15AX",LEFT(K4180,4)="CTAX",LEFT(K4180,2)="W|"),2*N4180*O4180,0)</f>
        <v/>
      </c>
      <c r="Z4180" s="12" t="inlineStr">
        <is>
          <t>VD 1.2 %</t>
        </is>
      </c>
      <c r="AA4180" s="12">
        <f>N4180*O4180</f>
        <v/>
      </c>
    </row>
    <row r="4181">
      <c r="A4181" s="12" t="inlineStr">
        <is>
          <t>H-P-0037</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168</v>
      </c>
      <c r="V4181" s="15">
        <f>ROUNDUP((T4181+U4181+2*'Read Me'!$B$13)*(1+'Read Me'!$B$12),-1)</f>
        <v/>
      </c>
      <c r="W4181" s="15">
        <f>V4181*N4181*O4181</f>
        <v/>
      </c>
      <c r="X4181" s="12">
        <f>IF(LEFT(I4181,2)="MV",2*N4181*IF(L4181="1/C",O4181,1),0)</f>
        <v/>
      </c>
      <c r="Y4181" s="12">
        <f>IF(OR(LEFT(K4181,4)="LVAX",LEFT(K4181,6)="MV15AX",LEFT(K4181,4)="CTAX",LEFT(K4181,2)="W|"),2*N4181*O4181,0)</f>
        <v/>
      </c>
      <c r="Z4181" s="12" t="inlineStr">
        <is>
          <t>VD 1.0 %</t>
        </is>
      </c>
      <c r="AA4181" s="12">
        <f>N4181*O4181</f>
        <v/>
      </c>
    </row>
    <row r="4182">
      <c r="A4182" s="12" t="inlineStr">
        <is>
          <t>H-P-0038</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168</v>
      </c>
      <c r="V4182" s="15">
        <f>ROUNDUP((T4182+U4182+2*'Read Me'!$B$13)*(1+'Read Me'!$B$12),-1)</f>
        <v/>
      </c>
      <c r="W4182" s="15">
        <f>V4182*N4182*O4182</f>
        <v/>
      </c>
      <c r="X4182" s="12">
        <f>IF(LEFT(I4182,2)="MV",2*N4182*IF(L4182="1/C",O4182,1),0)</f>
        <v/>
      </c>
      <c r="Y4182" s="12">
        <f>IF(OR(LEFT(K4182,4)="LVAX",LEFT(K4182,6)="MV15AX",LEFT(K4182,4)="CTAX",LEFT(K4182,2)="W|"),2*N4182*O4182,0)</f>
        <v/>
      </c>
      <c r="Z4182" s="12" t="inlineStr">
        <is>
          <t>VD 1.0 %</t>
        </is>
      </c>
      <c r="AA4182" s="12">
        <f>N4182*O4182</f>
        <v/>
      </c>
    </row>
    <row r="4183">
      <c r="A4183" s="12" t="inlineStr">
        <is>
          <t>H-P-0039</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76</v>
      </c>
      <c r="S4183" s="12" t="inlineStr">
        <is>
          <t>Duct bank</t>
        </is>
      </c>
      <c r="T4183" s="15" t="n">
        <v>10</v>
      </c>
      <c r="U4183" s="15" t="n">
        <v>266</v>
      </c>
      <c r="V4183" s="15">
        <f>ROUNDUP((T4183+U4183+2*'Read Me'!$B$13)*(1+'Read Me'!$B$12),-1)</f>
        <v/>
      </c>
      <c r="W4183" s="15">
        <f>V4183*N4183*O4183</f>
        <v/>
      </c>
      <c r="X4183" s="12">
        <f>IF(LEFT(I4183,2)="MV",2*N4183*IF(L4183="1/C",O4183,1),0)</f>
        <v/>
      </c>
      <c r="Y4183" s="12">
        <f>IF(OR(LEFT(K4183,4)="LVAX",LEFT(K4183,6)="MV15AX",LEFT(K4183,4)="CTAX",LEFT(K4183,2)="W|"),2*N4183*O4183,0)</f>
        <v/>
      </c>
      <c r="Z4183" s="12" t="inlineStr">
        <is>
          <t>VD 1.6 %</t>
        </is>
      </c>
      <c r="AA4183" s="12">
        <f>N4183*O4183</f>
        <v/>
      </c>
    </row>
    <row r="4184">
      <c r="A4184" s="12" t="inlineStr">
        <is>
          <t>H-P-0040</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276</v>
      </c>
      <c r="V4184" s="15">
        <f>ROUNDUP((T4184+U4184+2*'Read Me'!$B$13)*(1+'Read Me'!$B$12),-1)</f>
        <v/>
      </c>
      <c r="W4184" s="15">
        <f>V4184*N4184*O4184</f>
        <v/>
      </c>
      <c r="X4184" s="12">
        <f>IF(LEFT(I4184,2)="MV",2*N4184*IF(L4184="1/C",O4184,1),0)</f>
        <v/>
      </c>
      <c r="Y4184" s="12">
        <f>IF(OR(LEFT(K4184,4)="LVAX",LEFT(K4184,6)="MV15AX",LEFT(K4184,4)="CTAX",LEFT(K4184,2)="W|"),2*N4184*O4184,0)</f>
        <v/>
      </c>
      <c r="Z4184" s="12" t="inlineStr">
        <is>
          <t>VD 1.6 %</t>
        </is>
      </c>
      <c r="AA4184" s="12">
        <f>N4184*O4184</f>
        <v/>
      </c>
    </row>
    <row r="4185">
      <c r="A4185" s="12" t="inlineStr">
        <is>
          <t>H-P-0041</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316</v>
      </c>
      <c r="V4185" s="15">
        <f>ROUNDUP((T4185+U4185+2*'Read Me'!$B$13)*(1+'Read Me'!$B$12),-1)</f>
        <v/>
      </c>
      <c r="W4185" s="15">
        <f>V4185*N4185*O4185</f>
        <v/>
      </c>
      <c r="X4185" s="12">
        <f>IF(LEFT(I4185,2)="MV",2*N4185*IF(L4185="1/C",O4185,1),0)</f>
        <v/>
      </c>
      <c r="Y4185" s="12">
        <f>IF(OR(LEFT(K4185,4)="LVAX",LEFT(K4185,6)="MV15AX",LEFT(K4185,4)="CTAX",LEFT(K4185,2)="W|"),2*N4185*O4185,0)</f>
        <v/>
      </c>
      <c r="Z4185" s="12" t="inlineStr">
        <is>
          <t>VD 1.8 %</t>
        </is>
      </c>
      <c r="AA4185" s="12">
        <f>N4185*O4185</f>
        <v/>
      </c>
    </row>
    <row r="4186">
      <c r="A4186" s="12" t="inlineStr">
        <is>
          <t>H-P-0042</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316</v>
      </c>
      <c r="V4186" s="15">
        <f>ROUNDUP((T4186+U4186+2*'Read Me'!$B$13)*(1+'Read Me'!$B$12),-1)</f>
        <v/>
      </c>
      <c r="W4186" s="15">
        <f>V4186*N4186*O4186</f>
        <v/>
      </c>
      <c r="X4186" s="12">
        <f>IF(LEFT(I4186,2)="MV",2*N4186*IF(L4186="1/C",O4186,1),0)</f>
        <v/>
      </c>
      <c r="Y4186" s="12">
        <f>IF(OR(LEFT(K4186,4)="LVAX",LEFT(K4186,6)="MV15AX",LEFT(K4186,4)="CTAX",LEFT(K4186,2)="W|"),2*N4186*O4186,0)</f>
        <v/>
      </c>
      <c r="Z4186" s="12" t="inlineStr">
        <is>
          <t>VD 1.8 %</t>
        </is>
      </c>
      <c r="AA4186" s="12">
        <f>N4186*O4186</f>
        <v/>
      </c>
    </row>
    <row r="4187">
      <c r="A4187" s="12" t="inlineStr">
        <is>
          <t>H-P-0043</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284</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H-P-0044</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LV|3/C+G|250</t>
        </is>
      </c>
      <c r="L4188" s="12" t="inlineStr">
        <is>
          <t>3/C+G</t>
        </is>
      </c>
      <c r="M4188" s="12" t="inlineStr">
        <is>
          <t>250 kcmil</t>
        </is>
      </c>
      <c r="N4188" s="12" t="n">
        <v>1</v>
      </c>
      <c r="O4188" s="12" t="n">
        <v>1</v>
      </c>
      <c r="P4188" s="12" t="n">
        <v>480</v>
      </c>
      <c r="Q4188" s="12" t="n">
        <v>60</v>
      </c>
      <c r="R4188" s="12" t="n">
        <v>76</v>
      </c>
      <c r="S4188" s="12" t="inlineStr">
        <is>
          <t>Duct bank</t>
        </is>
      </c>
      <c r="T4188" s="15" t="n">
        <v>1501</v>
      </c>
      <c r="U4188" s="15" t="n">
        <v>241</v>
      </c>
      <c r="V4188" s="15">
        <f>ROUNDUP((T4188+U4188+2*'Read Me'!$B$13)*(1+'Read Me'!$B$12),-1)</f>
        <v/>
      </c>
      <c r="W4188" s="15">
        <f>V4188*N4188*O4188</f>
        <v/>
      </c>
      <c r="X4188" s="12">
        <f>IF(LEFT(I4188,2)="MV",2*N4188*IF(L4188="1/C",O4188,1),0)</f>
        <v/>
      </c>
      <c r="Y4188" s="12">
        <f>IF(OR(LEFT(K4188,4)="LVAX",LEFT(K4188,6)="MV15AX",LEFT(K4188,4)="CTAX",LEFT(K4188,2)="W|"),2*N4188*O4188,0)</f>
        <v/>
      </c>
      <c r="Z4188" s="12" t="inlineStr">
        <is>
          <t>VD 2.7 %</t>
        </is>
      </c>
      <c r="AA4188" s="12">
        <f>N4188*O4188</f>
        <v/>
      </c>
    </row>
    <row r="4189">
      <c r="A4189" s="12" t="inlineStr">
        <is>
          <t>H-P-0045</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0</v>
      </c>
      <c r="U4189" s="15" t="n">
        <v>290</v>
      </c>
      <c r="V4189" s="15">
        <f>ROUNDUP((T4189+U4189+2*'Read Me'!$B$13)*(1+'Read Me'!$B$12),-1)</f>
        <v/>
      </c>
      <c r="W4189" s="15">
        <f>V4189*N4189*O4189</f>
        <v/>
      </c>
      <c r="X4189" s="12">
        <f>IF(LEFT(I4189,2)="MV",2*N4189*IF(L4189="1/C",O4189,1),0)</f>
        <v/>
      </c>
      <c r="Y4189" s="12">
        <f>IF(OR(LEFT(K4189,4)="LVAX",LEFT(K4189,6)="MV15AX",LEFT(K4189,4)="CTAX",LEFT(K4189,2)="W|"),2*N4189*O4189,0)</f>
        <v/>
      </c>
      <c r="Z4189" s="12" t="inlineStr">
        <is>
          <t>VD 1.7 %</t>
        </is>
      </c>
      <c r="AA4189" s="12">
        <f>N4189*O4189</f>
        <v/>
      </c>
    </row>
    <row r="4190">
      <c r="A4190" s="12" t="inlineStr">
        <is>
          <t>H-P-0046</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290</v>
      </c>
      <c r="V4190" s="15">
        <f>ROUNDUP((T4190+U4190+2*'Read Me'!$B$13)*(1+'Read Me'!$B$12),-1)</f>
        <v/>
      </c>
      <c r="W4190" s="15">
        <f>V4190*N4190*O4190</f>
        <v/>
      </c>
      <c r="X4190" s="12">
        <f>IF(LEFT(I4190,2)="MV",2*N4190*IF(L4190="1/C",O4190,1),0)</f>
        <v/>
      </c>
      <c r="Y4190" s="12">
        <f>IF(OR(LEFT(K4190,4)="LVAX",LEFT(K4190,6)="MV15AX",LEFT(K4190,4)="CTAX",LEFT(K4190,2)="W|"),2*N4190*O4190,0)</f>
        <v/>
      </c>
      <c r="Z4190" s="12" t="inlineStr">
        <is>
          <t>VD 1.7 %</t>
        </is>
      </c>
      <c r="AA4190" s="12">
        <f>N4190*O4190</f>
        <v/>
      </c>
    </row>
    <row r="4191">
      <c r="A4191" s="12" t="inlineStr">
        <is>
          <t>H-P-0047</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290</v>
      </c>
      <c r="V4191" s="15">
        <f>ROUNDUP((T4191+U4191+2*'Read Me'!$B$13)*(1+'Read Me'!$B$12),-1)</f>
        <v/>
      </c>
      <c r="W4191" s="15">
        <f>V4191*N4191*O4191</f>
        <v/>
      </c>
      <c r="X4191" s="12">
        <f>IF(LEFT(I4191,2)="MV",2*N4191*IF(L4191="1/C",O4191,1),0)</f>
        <v/>
      </c>
      <c r="Y4191" s="12">
        <f>IF(OR(LEFT(K4191,4)="LVAX",LEFT(K4191,6)="MV15AX",LEFT(K4191,4)="CTAX",LEFT(K4191,2)="W|"),2*N4191*O4191,0)</f>
        <v/>
      </c>
      <c r="Z4191" s="12" t="inlineStr">
        <is>
          <t>VD 1.7 %</t>
        </is>
      </c>
      <c r="AA4191" s="12">
        <f>N4191*O4191</f>
        <v/>
      </c>
    </row>
    <row r="4192">
      <c r="A4192" s="12" t="inlineStr">
        <is>
          <t>H-P-0048</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290</v>
      </c>
      <c r="V4192" s="15">
        <f>ROUNDUP((T4192+U4192+2*'Read Me'!$B$13)*(1+'Read Me'!$B$12),-1)</f>
        <v/>
      </c>
      <c r="W4192" s="15">
        <f>V4192*N4192*O4192</f>
        <v/>
      </c>
      <c r="X4192" s="12">
        <f>IF(LEFT(I4192,2)="MV",2*N4192*IF(L4192="1/C",O4192,1),0)</f>
        <v/>
      </c>
      <c r="Y4192" s="12">
        <f>IF(OR(LEFT(K4192,4)="LVAX",LEFT(K4192,6)="MV15AX",LEFT(K4192,4)="CTAX",LEFT(K4192,2)="W|"),2*N4192*O4192,0)</f>
        <v/>
      </c>
      <c r="Z4192" s="12" t="inlineStr">
        <is>
          <t>VD 1.7 %</t>
        </is>
      </c>
      <c r="AA4192" s="12">
        <f>N4192*O4192</f>
        <v/>
      </c>
    </row>
    <row r="4193">
      <c r="A4193" s="12" t="inlineStr">
        <is>
          <t>H-P-0049</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290</v>
      </c>
      <c r="V4193" s="15">
        <f>ROUNDUP((T4193+U4193+2*'Read Me'!$B$13)*(1+'Read Me'!$B$12),-1)</f>
        <v/>
      </c>
      <c r="W4193" s="15">
        <f>V4193*N4193*O4193</f>
        <v/>
      </c>
      <c r="X4193" s="12">
        <f>IF(LEFT(I4193,2)="MV",2*N4193*IF(L4193="1/C",O4193,1),0)</f>
        <v/>
      </c>
      <c r="Y4193" s="12">
        <f>IF(OR(LEFT(K4193,4)="LVAX",LEFT(K4193,6)="MV15AX",LEFT(K4193,4)="CTAX",LEFT(K4193,2)="W|"),2*N4193*O4193,0)</f>
        <v/>
      </c>
      <c r="Z4193" s="12" t="inlineStr">
        <is>
          <t>VD 1.7 %</t>
        </is>
      </c>
      <c r="AA4193" s="12">
        <f>N4193*O4193</f>
        <v/>
      </c>
    </row>
    <row r="4194">
      <c r="A4194" s="12" t="inlineStr">
        <is>
          <t>H-P-0050</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42</v>
      </c>
      <c r="U4194" s="15" t="n">
        <v>234</v>
      </c>
      <c r="V4194" s="15">
        <f>ROUNDUP((T4194+U4194+2*'Read Me'!$B$13)*(1+'Read Me'!$B$12),-1)</f>
        <v/>
      </c>
      <c r="W4194" s="15">
        <f>V4194*N4194*O4194</f>
        <v/>
      </c>
      <c r="X4194" s="12">
        <f>IF(LEFT(I4194,2)="MV",2*N4194*IF(L4194="1/C",O4194,1),0)</f>
        <v/>
      </c>
      <c r="Y4194" s="12">
        <f>IF(OR(LEFT(K4194,4)="LVAX",LEFT(K4194,6)="MV15AX",LEFT(K4194,4)="CTAX",LEFT(K4194,2)="W|"),2*N4194*O4194,0)</f>
        <v/>
      </c>
      <c r="Z4194" s="12" t="inlineStr">
        <is>
          <t>VD 1.6 %</t>
        </is>
      </c>
      <c r="AA4194" s="12">
        <f>N4194*O4194</f>
        <v/>
      </c>
    </row>
    <row r="4195">
      <c r="A4195" s="12" t="inlineStr">
        <is>
          <t>H-P-0051</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H-P-0052</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174</v>
      </c>
      <c r="V4196" s="15">
        <f>ROUNDUP((T4196+U4196+2*'Read Me'!$B$13)*(1+'Read Me'!$B$12),-1)</f>
        <v/>
      </c>
      <c r="W4196" s="15">
        <f>V4196*N4196*O4196</f>
        <v/>
      </c>
      <c r="X4196" s="12">
        <f>IF(LEFT(I4196,2)="MV",2*N4196*IF(L4196="1/C",O4196,1),0)</f>
        <v/>
      </c>
      <c r="Y4196" s="12">
        <f>IF(OR(LEFT(K4196,4)="LVAX",LEFT(K4196,6)="MV15AX",LEFT(K4196,4)="CTAX",LEFT(K4196,2)="W|"),2*N4196*O4196,0)</f>
        <v/>
      </c>
      <c r="Z4196" s="12" t="inlineStr">
        <is>
          <t>VD 1.0 %</t>
        </is>
      </c>
      <c r="AA4196" s="12">
        <f>N4196*O4196</f>
        <v/>
      </c>
    </row>
    <row r="4197">
      <c r="A4197" s="12" t="inlineStr">
        <is>
          <t>H-P-0053</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174</v>
      </c>
      <c r="V4197" s="15">
        <f>ROUNDUP((T4197+U4197+2*'Read Me'!$B$13)*(1+'Read Me'!$B$12),-1)</f>
        <v/>
      </c>
      <c r="W4197" s="15">
        <f>V4197*N4197*O4197</f>
        <v/>
      </c>
      <c r="X4197" s="12">
        <f>IF(LEFT(I4197,2)="MV",2*N4197*IF(L4197="1/C",O4197,1),0)</f>
        <v/>
      </c>
      <c r="Y4197" s="12">
        <f>IF(OR(LEFT(K4197,4)="LVAX",LEFT(K4197,6)="MV15AX",LEFT(K4197,4)="CTAX",LEFT(K4197,2)="W|"),2*N4197*O4197,0)</f>
        <v/>
      </c>
      <c r="Z4197" s="12" t="inlineStr">
        <is>
          <t>VD 1.0 %</t>
        </is>
      </c>
      <c r="AA4197" s="12">
        <f>N4197*O4197</f>
        <v/>
      </c>
    </row>
    <row r="4198">
      <c r="A4198" s="12" t="inlineStr">
        <is>
          <t>H-P-0054</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174</v>
      </c>
      <c r="V4198" s="15">
        <f>ROUNDUP((T4198+U4198+2*'Read Me'!$B$13)*(1+'Read Me'!$B$12),-1)</f>
        <v/>
      </c>
      <c r="W4198" s="15">
        <f>V4198*N4198*O4198</f>
        <v/>
      </c>
      <c r="X4198" s="12">
        <f>IF(LEFT(I4198,2)="MV",2*N4198*IF(L4198="1/C",O4198,1),0)</f>
        <v/>
      </c>
      <c r="Y4198" s="12">
        <f>IF(OR(LEFT(K4198,4)="LVAX",LEFT(K4198,6)="MV15AX",LEFT(K4198,4)="CTAX",LEFT(K4198,2)="W|"),2*N4198*O4198,0)</f>
        <v/>
      </c>
      <c r="Z4198" s="12" t="inlineStr">
        <is>
          <t>VD 1.0 %</t>
        </is>
      </c>
      <c r="AA4198" s="12">
        <f>N4198*O4198</f>
        <v/>
      </c>
    </row>
    <row r="4199">
      <c r="A4199" s="12" t="inlineStr">
        <is>
          <t>H-P-0055</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174</v>
      </c>
      <c r="V4199" s="15">
        <f>ROUNDUP((T4199+U4199+2*'Read Me'!$B$13)*(1+'Read Me'!$B$12),-1)</f>
        <v/>
      </c>
      <c r="W4199" s="15">
        <f>V4199*N4199*O4199</f>
        <v/>
      </c>
      <c r="X4199" s="12">
        <f>IF(LEFT(I4199,2)="MV",2*N4199*IF(L4199="1/C",O4199,1),0)</f>
        <v/>
      </c>
      <c r="Y4199" s="12">
        <f>IF(OR(LEFT(K4199,4)="LVAX",LEFT(K4199,6)="MV15AX",LEFT(K4199,4)="CTAX",LEFT(K4199,2)="W|"),2*N4199*O4199,0)</f>
        <v/>
      </c>
      <c r="Z4199" s="12" t="inlineStr">
        <is>
          <t>VD 1.0 %</t>
        </is>
      </c>
      <c r="AA4199" s="12">
        <f>N4199*O4199</f>
        <v/>
      </c>
    </row>
    <row r="4200">
      <c r="A4200" s="12" t="inlineStr">
        <is>
          <t>H-P-0056</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174</v>
      </c>
      <c r="V4200" s="15">
        <f>ROUNDUP((T4200+U4200+2*'Read Me'!$B$13)*(1+'Read Me'!$B$12),-1)</f>
        <v/>
      </c>
      <c r="W4200" s="15">
        <f>V4200*N4200*O4200</f>
        <v/>
      </c>
      <c r="X4200" s="12">
        <f>IF(LEFT(I4200,2)="MV",2*N4200*IF(L4200="1/C",O4200,1),0)</f>
        <v/>
      </c>
      <c r="Y4200" s="12">
        <f>IF(OR(LEFT(K4200,4)="LVAX",LEFT(K4200,6)="MV15AX",LEFT(K4200,4)="CTAX",LEFT(K4200,2)="W|"),2*N4200*O4200,0)</f>
        <v/>
      </c>
      <c r="Z4200" s="12" t="inlineStr">
        <is>
          <t>VD 1.0 %</t>
        </is>
      </c>
      <c r="AA4200" s="12">
        <f>N4200*O4200</f>
        <v/>
      </c>
    </row>
    <row r="4201">
      <c r="A4201" s="12" t="inlineStr">
        <is>
          <t>H-P-0057</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H-P-0058</t>
        </is>
      </c>
      <c r="B4202" s="12" t="inlineStr">
        <is>
          <t>H</t>
        </is>
      </c>
      <c r="C4202" s="12" t="inlineStr">
        <is>
          <t>BESS</t>
        </is>
      </c>
      <c r="D4202" s="12" t="inlineStr">
        <is>
          <t>Container auxiliary 480 V</t>
        </is>
      </c>
      <c r="E4202" s="12" t="inlineStr"/>
      <c r="F4202" s="12" t="inlineStr">
        <is>
          <t>BESS PCS / MV skid</t>
        </is>
      </c>
      <c r="G4202" s="12" t="inlineStr"/>
      <c r="H4202" s="12" t="inlineStr">
        <is>
          <t>BESS container (ISO 40 ft high cube)</t>
        </is>
      </c>
      <c r="I4202" s="12" t="inlineStr">
        <is>
          <t>LV 600 V</t>
        </is>
      </c>
      <c r="J4202" s="12" t="inlineStr">
        <is>
          <t>Type TC-ER 600 V 3/C Cu XHHW-2 + ground, PVC jacket</t>
        </is>
      </c>
      <c r="K4202" s="12" t="inlineStr">
        <is>
          <t>LV|3/C+G|2</t>
        </is>
      </c>
      <c r="L4202" s="12" t="inlineStr">
        <is>
          <t>3/C+G</t>
        </is>
      </c>
      <c r="M4202" s="12" t="inlineStr">
        <is>
          <t>2</t>
        </is>
      </c>
      <c r="N4202" s="12" t="n">
        <v>1</v>
      </c>
      <c r="O4202" s="12" t="n">
        <v>1</v>
      </c>
      <c r="P4202" s="12" t="n">
        <v>480</v>
      </c>
      <c r="Q4202" s="12" t="n">
        <v>60</v>
      </c>
      <c r="R4202" s="12" t="n">
        <v>76</v>
      </c>
      <c r="S4202" s="12" t="inlineStr">
        <is>
          <t>Tray</t>
        </is>
      </c>
      <c r="T4202" s="15" t="n">
        <v>0</v>
      </c>
      <c r="U4202" s="15" t="n">
        <v>62</v>
      </c>
      <c r="V4202" s="15">
        <f>ROUNDUP((T4202+U4202+2*'Read Me'!$B$13)*(1+'Read Me'!$B$12),-1)</f>
        <v/>
      </c>
      <c r="W4202" s="15">
        <f>V4202*N4202*O4202</f>
        <v/>
      </c>
      <c r="X4202" s="12">
        <f>IF(LEFT(I4202,2)="MV",2*N4202*IF(L4202="1/C",O4202,1),0)</f>
        <v/>
      </c>
      <c r="Y4202" s="12">
        <f>IF(OR(LEFT(K4202,4)="LVAX",LEFT(K4202,6)="MV15AX",LEFT(K4202,4)="CTAX",LEFT(K4202,2)="W|"),2*N4202*O4202,0)</f>
        <v/>
      </c>
      <c r="Z4202" s="12" t="inlineStr">
        <is>
          <t>VD 0.4 %</t>
        </is>
      </c>
      <c r="AA4202" s="12">
        <f>N4202*O4202</f>
        <v/>
      </c>
    </row>
    <row r="4203">
      <c r="A4203" s="12" t="inlineStr">
        <is>
          <t>H-P-0059</t>
        </is>
      </c>
      <c r="B4203" s="12" t="inlineStr">
        <is>
          <t>H</t>
        </is>
      </c>
      <c r="C4203" s="12" t="inlineStr">
        <is>
          <t>BESS</t>
        </is>
      </c>
      <c r="D4203" s="12" t="inlineStr">
        <is>
          <t>Container auxiliary 480 V</t>
        </is>
      </c>
      <c r="E4203" s="12" t="inlineStr"/>
      <c r="F4203" s="12" t="inlineStr">
        <is>
          <t>BESS PCS / MV skid</t>
        </is>
      </c>
      <c r="G4203" s="12" t="inlineStr"/>
      <c r="H4203" s="12" t="inlineStr">
        <is>
          <t>BESS container (ISO 40 ft high cube)</t>
        </is>
      </c>
      <c r="I4203" s="12" t="inlineStr">
        <is>
          <t>LV 600 V</t>
        </is>
      </c>
      <c r="J4203" s="12" t="inlineStr">
        <is>
          <t>Type TC-ER 600 V 3/C Cu XHHW-2 + ground, PVC jacket</t>
        </is>
      </c>
      <c r="K4203" s="12" t="inlineStr">
        <is>
          <t>LV|3/C+G|2</t>
        </is>
      </c>
      <c r="L4203" s="12" t="inlineStr">
        <is>
          <t>3/C+G</t>
        </is>
      </c>
      <c r="M4203" s="12" t="inlineStr">
        <is>
          <t>2</t>
        </is>
      </c>
      <c r="N4203" s="12" t="n">
        <v>1</v>
      </c>
      <c r="O4203" s="12" t="n">
        <v>1</v>
      </c>
      <c r="P4203" s="12" t="n">
        <v>480</v>
      </c>
      <c r="Q4203" s="12" t="n">
        <v>60</v>
      </c>
      <c r="R4203" s="12" t="n">
        <v>76</v>
      </c>
      <c r="S4203" s="12" t="inlineStr">
        <is>
          <t>Tray</t>
        </is>
      </c>
      <c r="T4203" s="15" t="n">
        <v>0</v>
      </c>
      <c r="U4203" s="15" t="n">
        <v>62</v>
      </c>
      <c r="V4203" s="15">
        <f>ROUNDUP((T4203+U4203+2*'Read Me'!$B$13)*(1+'Read Me'!$B$12),-1)</f>
        <v/>
      </c>
      <c r="W4203" s="15">
        <f>V4203*N4203*O4203</f>
        <v/>
      </c>
      <c r="X4203" s="12">
        <f>IF(LEFT(I4203,2)="MV",2*N4203*IF(L4203="1/C",O4203,1),0)</f>
        <v/>
      </c>
      <c r="Y4203" s="12">
        <f>IF(OR(LEFT(K4203,4)="LVAX",LEFT(K4203,6)="MV15AX",LEFT(K4203,4)="CTAX",LEFT(K4203,2)="W|"),2*N4203*O4203,0)</f>
        <v/>
      </c>
      <c r="Z4203" s="12" t="inlineStr">
        <is>
          <t>VD 0.4 %</t>
        </is>
      </c>
      <c r="AA4203" s="12">
        <f>N4203*O4203</f>
        <v/>
      </c>
    </row>
    <row r="4204">
      <c r="A4204" s="12" t="inlineStr">
        <is>
          <t>H-P-0060</t>
        </is>
      </c>
      <c r="B4204" s="12" t="inlineStr">
        <is>
          <t>H</t>
        </is>
      </c>
      <c r="C4204" s="12" t="inlineStr">
        <is>
          <t>BESS</t>
        </is>
      </c>
      <c r="D4204" s="12" t="inlineStr">
        <is>
          <t>Container auxiliary 480 V</t>
        </is>
      </c>
      <c r="E4204" s="12" t="inlineStr"/>
      <c r="F4204" s="12" t="inlineStr">
        <is>
          <t>BESS PCS / MV skid</t>
        </is>
      </c>
      <c r="G4204" s="12" t="inlineStr"/>
      <c r="H4204" s="12" t="inlineStr">
        <is>
          <t>BESS container (ISO 40 ft high cube)</t>
        </is>
      </c>
      <c r="I4204" s="12" t="inlineStr">
        <is>
          <t>LV 600 V</t>
        </is>
      </c>
      <c r="J4204" s="12" t="inlineStr">
        <is>
          <t>Type TC-ER 600 V 3/C Cu XHHW-2 + ground, PVC jacket</t>
        </is>
      </c>
      <c r="K4204" s="12" t="inlineStr">
        <is>
          <t>LV|3/C+G|2</t>
        </is>
      </c>
      <c r="L4204" s="12" t="inlineStr">
        <is>
          <t>3/C+G</t>
        </is>
      </c>
      <c r="M4204" s="12" t="inlineStr">
        <is>
          <t>2</t>
        </is>
      </c>
      <c r="N4204" s="12" t="n">
        <v>1</v>
      </c>
      <c r="O4204" s="12" t="n">
        <v>1</v>
      </c>
      <c r="P4204" s="12" t="n">
        <v>480</v>
      </c>
      <c r="Q4204" s="12" t="n">
        <v>60</v>
      </c>
      <c r="R4204" s="12" t="n">
        <v>76</v>
      </c>
      <c r="S4204" s="12" t="inlineStr">
        <is>
          <t>Tray</t>
        </is>
      </c>
      <c r="T4204" s="15" t="n">
        <v>0</v>
      </c>
      <c r="U4204" s="15" t="n">
        <v>62</v>
      </c>
      <c r="V4204" s="15">
        <f>ROUNDUP((T4204+U4204+2*'Read Me'!$B$13)*(1+'Read Me'!$B$12),-1)</f>
        <v/>
      </c>
      <c r="W4204" s="15">
        <f>V4204*N4204*O4204</f>
        <v/>
      </c>
      <c r="X4204" s="12">
        <f>IF(LEFT(I4204,2)="MV",2*N4204*IF(L4204="1/C",O4204,1),0)</f>
        <v/>
      </c>
      <c r="Y4204" s="12">
        <f>IF(OR(LEFT(K4204,4)="LVAX",LEFT(K4204,6)="MV15AX",LEFT(K4204,4)="CTAX",LEFT(K4204,2)="W|"),2*N4204*O4204,0)</f>
        <v/>
      </c>
      <c r="Z4204" s="12" t="inlineStr">
        <is>
          <t>VD 0.4 %</t>
        </is>
      </c>
      <c r="AA4204" s="12">
        <f>N4204*O4204</f>
        <v/>
      </c>
    </row>
    <row r="4205">
      <c r="A4205" s="12" t="inlineStr">
        <is>
          <t>H-P-0061</t>
        </is>
      </c>
      <c r="B4205" s="12" t="inlineStr">
        <is>
          <t>H</t>
        </is>
      </c>
      <c r="C4205" s="12" t="inlineStr">
        <is>
          <t>BESS</t>
        </is>
      </c>
      <c r="D4205" s="12" t="inlineStr">
        <is>
          <t>Container auxiliary 480 V</t>
        </is>
      </c>
      <c r="E4205" s="12" t="inlineStr"/>
      <c r="F4205" s="12" t="inlineStr">
        <is>
          <t>BESS PCS / MV skid</t>
        </is>
      </c>
      <c r="G4205" s="12" t="inlineStr"/>
      <c r="H4205" s="12" t="inlineStr">
        <is>
          <t>BESS container (ISO 40 ft high cube)</t>
        </is>
      </c>
      <c r="I4205" s="12" t="inlineStr">
        <is>
          <t>LV 600 V</t>
        </is>
      </c>
      <c r="J4205" s="12" t="inlineStr">
        <is>
          <t>Type TC-ER 600 V 3/C Cu XHHW-2 + ground, PVC jacket</t>
        </is>
      </c>
      <c r="K4205" s="12" t="inlineStr">
        <is>
          <t>LV|3/C+G|2</t>
        </is>
      </c>
      <c r="L4205" s="12" t="inlineStr">
        <is>
          <t>3/C+G</t>
        </is>
      </c>
      <c r="M4205" s="12" t="inlineStr">
        <is>
          <t>2</t>
        </is>
      </c>
      <c r="N4205" s="12" t="n">
        <v>1</v>
      </c>
      <c r="O4205" s="12" t="n">
        <v>1</v>
      </c>
      <c r="P4205" s="12" t="n">
        <v>480</v>
      </c>
      <c r="Q4205" s="12" t="n">
        <v>60</v>
      </c>
      <c r="R4205" s="12" t="n">
        <v>76</v>
      </c>
      <c r="S4205" s="12" t="inlineStr">
        <is>
          <t>Tray</t>
        </is>
      </c>
      <c r="T4205" s="15" t="n">
        <v>0</v>
      </c>
      <c r="U4205" s="15" t="n">
        <v>62</v>
      </c>
      <c r="V4205" s="15">
        <f>ROUNDUP((T4205+U4205+2*'Read Me'!$B$13)*(1+'Read Me'!$B$12),-1)</f>
        <v/>
      </c>
      <c r="W4205" s="15">
        <f>V4205*N4205*O4205</f>
        <v/>
      </c>
      <c r="X4205" s="12">
        <f>IF(LEFT(I4205,2)="MV",2*N4205*IF(L4205="1/C",O4205,1),0)</f>
        <v/>
      </c>
      <c r="Y4205" s="12">
        <f>IF(OR(LEFT(K4205,4)="LVAX",LEFT(K4205,6)="MV15AX",LEFT(K4205,4)="CTAX",LEFT(K4205,2)="W|"),2*N4205*O4205,0)</f>
        <v/>
      </c>
      <c r="Z4205" s="12" t="inlineStr">
        <is>
          <t>VD 0.4 %</t>
        </is>
      </c>
      <c r="AA4205" s="12">
        <f>N4205*O4205</f>
        <v/>
      </c>
    </row>
    <row r="4206">
      <c r="A4206" s="12" t="inlineStr">
        <is>
          <t>H-P-0062</t>
        </is>
      </c>
      <c r="B4206" s="12" t="inlineStr">
        <is>
          <t>H</t>
        </is>
      </c>
      <c r="C4206" s="12" t="inlineStr">
        <is>
          <t>BESS</t>
        </is>
      </c>
      <c r="D4206" s="12" t="inlineStr">
        <is>
          <t>Container auxiliary 480 V</t>
        </is>
      </c>
      <c r="E4206" s="12" t="inlineStr"/>
      <c r="F4206" s="12" t="inlineStr">
        <is>
          <t>BESS PCS / MV skid</t>
        </is>
      </c>
      <c r="G4206" s="12" t="inlineStr"/>
      <c r="H4206" s="12" t="inlineStr">
        <is>
          <t>BESS container (ISO 40 ft high cube)</t>
        </is>
      </c>
      <c r="I4206" s="12" t="inlineStr">
        <is>
          <t>LV 600 V</t>
        </is>
      </c>
      <c r="J4206" s="12" t="inlineStr">
        <is>
          <t>Type TC-ER 600 V 3/C Cu XHHW-2 + ground, PVC jacket</t>
        </is>
      </c>
      <c r="K4206" s="12" t="inlineStr">
        <is>
          <t>LV|3/C+G|2</t>
        </is>
      </c>
      <c r="L4206" s="12" t="inlineStr">
        <is>
          <t>3/C+G</t>
        </is>
      </c>
      <c r="M4206" s="12" t="inlineStr">
        <is>
          <t>2</t>
        </is>
      </c>
      <c r="N4206" s="12" t="n">
        <v>1</v>
      </c>
      <c r="O4206" s="12" t="n">
        <v>1</v>
      </c>
      <c r="P4206" s="12" t="n">
        <v>480</v>
      </c>
      <c r="Q4206" s="12" t="n">
        <v>60</v>
      </c>
      <c r="R4206" s="12" t="n">
        <v>76</v>
      </c>
      <c r="S4206" s="12" t="inlineStr">
        <is>
          <t>Tray</t>
        </is>
      </c>
      <c r="T4206" s="15" t="n">
        <v>0</v>
      </c>
      <c r="U4206" s="15" t="n">
        <v>62</v>
      </c>
      <c r="V4206" s="15">
        <f>ROUNDUP((T4206+U4206+2*'Read Me'!$B$13)*(1+'Read Me'!$B$12),-1)</f>
        <v/>
      </c>
      <c r="W4206" s="15">
        <f>V4206*N4206*O4206</f>
        <v/>
      </c>
      <c r="X4206" s="12">
        <f>IF(LEFT(I4206,2)="MV",2*N4206*IF(L4206="1/C",O4206,1),0)</f>
        <v/>
      </c>
      <c r="Y4206" s="12">
        <f>IF(OR(LEFT(K4206,4)="LVAX",LEFT(K4206,6)="MV15AX",LEFT(K4206,4)="CTAX",LEFT(K4206,2)="W|"),2*N4206*O4206,0)</f>
        <v/>
      </c>
      <c r="Z4206" s="12" t="inlineStr">
        <is>
          <t>VD 0.4 %</t>
        </is>
      </c>
      <c r="AA4206" s="12">
        <f>N4206*O4206</f>
        <v/>
      </c>
    </row>
    <row r="4207">
      <c r="A4207" s="12" t="inlineStr">
        <is>
          <t>H-P-0063</t>
        </is>
      </c>
      <c r="B4207" s="12" t="inlineStr">
        <is>
          <t>H</t>
        </is>
      </c>
      <c r="C4207" s="12" t="inlineStr">
        <is>
          <t>BESS</t>
        </is>
      </c>
      <c r="D4207" s="12" t="inlineStr">
        <is>
          <t>Motor 1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H-P-0064</t>
        </is>
      </c>
      <c r="B4208" s="12" t="inlineStr">
        <is>
          <t>H</t>
        </is>
      </c>
      <c r="C4208" s="12" t="inlineStr">
        <is>
          <t>BESS</t>
        </is>
      </c>
      <c r="D4208" s="12" t="inlineStr">
        <is>
          <t>Motor 2 of 6, 2 kW</t>
        </is>
      </c>
      <c r="E4208" s="12" t="inlineStr"/>
      <c r="F4208" s="12" t="inlineStr">
        <is>
          <t>BESS auxiliary transformer</t>
        </is>
      </c>
      <c r="G4208" s="12" t="inlineStr">
        <is>
          <t>BESS MPT</t>
        </is>
      </c>
      <c r="H4208" s="12" t="inlineStr">
        <is>
          <t>BESS main power transformer 34.5/230 kV (to D4 upper)</t>
        </is>
      </c>
      <c r="I4208" s="12" t="inlineStr">
        <is>
          <t>LV 600 V</t>
        </is>
      </c>
      <c r="J4208" s="12" t="inlineStr">
        <is>
          <t>Type TC-ER 600 V 3/C Cu XHHW-2 + ground, PVC jacket</t>
        </is>
      </c>
      <c r="K4208" s="12" t="inlineStr">
        <is>
          <t>LV|3/C+G|10</t>
        </is>
      </c>
      <c r="L4208" s="12" t="inlineStr">
        <is>
          <t>3/C+G</t>
        </is>
      </c>
      <c r="M4208" s="12" t="inlineStr">
        <is>
          <t>10</t>
        </is>
      </c>
      <c r="N4208" s="12" t="n">
        <v>1</v>
      </c>
      <c r="O4208" s="12" t="n">
        <v>1</v>
      </c>
      <c r="P4208" s="12" t="n">
        <v>480</v>
      </c>
      <c r="Q4208" s="12" t="n">
        <v>2</v>
      </c>
      <c r="R4208" s="12" t="n">
        <v>2.8</v>
      </c>
      <c r="S4208" s="12" t="inlineStr">
        <is>
          <t>Duct bank</t>
        </is>
      </c>
      <c r="T4208" s="15" t="n">
        <v>180</v>
      </c>
      <c r="U4208" s="15" t="n">
        <v>32</v>
      </c>
      <c r="V4208" s="15">
        <f>ROUNDUP((T4208+U4208+2*'Read Me'!$B$13)*(1+'Read Me'!$B$12),-1)</f>
        <v/>
      </c>
      <c r="W4208" s="15">
        <f>V4208*N4208*O4208</f>
        <v/>
      </c>
      <c r="X4208" s="12">
        <f>IF(LEFT(I4208,2)="MV",2*N4208*IF(L4208="1/C",O4208,1),0)</f>
        <v/>
      </c>
      <c r="Y4208" s="12">
        <f>IF(OR(LEFT(K4208,4)="LVAX",LEFT(K4208,6)="MV15AX",LEFT(K4208,4)="CTAX",LEFT(K4208,2)="W|"),2*N4208*O4208,0)</f>
        <v/>
      </c>
      <c r="Z4208" s="12" t="inlineStr">
        <is>
          <t>VD 0.3 %</t>
        </is>
      </c>
      <c r="AA4208" s="12">
        <f>N4208*O4208</f>
        <v/>
      </c>
    </row>
    <row r="4209">
      <c r="A4209" s="12" t="inlineStr">
        <is>
          <t>H-P-0065</t>
        </is>
      </c>
      <c r="B4209" s="12" t="inlineStr">
        <is>
          <t>H</t>
        </is>
      </c>
      <c r="C4209" s="12" t="inlineStr">
        <is>
          <t>BESS</t>
        </is>
      </c>
      <c r="D4209" s="12" t="inlineStr">
        <is>
          <t>Motor 3 of 6, 2 kW</t>
        </is>
      </c>
      <c r="E4209" s="12" t="inlineStr"/>
      <c r="F4209" s="12" t="inlineStr">
        <is>
          <t>BESS auxiliary transformer</t>
        </is>
      </c>
      <c r="G4209" s="12" t="inlineStr">
        <is>
          <t>BESS MPT</t>
        </is>
      </c>
      <c r="H4209" s="12" t="inlineStr">
        <is>
          <t>BESS main power transformer 34.5/230 kV (to D4 upper)</t>
        </is>
      </c>
      <c r="I4209" s="12" t="inlineStr">
        <is>
          <t>LV 600 V</t>
        </is>
      </c>
      <c r="J4209" s="12" t="inlineStr">
        <is>
          <t>Type TC-ER 600 V 3/C Cu XHHW-2 + ground, PVC jacket</t>
        </is>
      </c>
      <c r="K4209" s="12" t="inlineStr">
        <is>
          <t>LV|3/C+G|10</t>
        </is>
      </c>
      <c r="L4209" s="12" t="inlineStr">
        <is>
          <t>3/C+G</t>
        </is>
      </c>
      <c r="M4209" s="12" t="inlineStr">
        <is>
          <t>10</t>
        </is>
      </c>
      <c r="N4209" s="12" t="n">
        <v>1</v>
      </c>
      <c r="O4209" s="12" t="n">
        <v>1</v>
      </c>
      <c r="P4209" s="12" t="n">
        <v>480</v>
      </c>
      <c r="Q4209" s="12" t="n">
        <v>2</v>
      </c>
      <c r="R4209" s="12" t="n">
        <v>2.8</v>
      </c>
      <c r="S4209" s="12" t="inlineStr">
        <is>
          <t>Duct bank</t>
        </is>
      </c>
      <c r="T4209" s="15" t="n">
        <v>180</v>
      </c>
      <c r="U4209" s="15" t="n">
        <v>32</v>
      </c>
      <c r="V4209" s="15">
        <f>ROUNDUP((T4209+U4209+2*'Read Me'!$B$13)*(1+'Read Me'!$B$12),-1)</f>
        <v/>
      </c>
      <c r="W4209" s="15">
        <f>V4209*N4209*O4209</f>
        <v/>
      </c>
      <c r="X4209" s="12">
        <f>IF(LEFT(I4209,2)="MV",2*N4209*IF(L4209="1/C",O4209,1),0)</f>
        <v/>
      </c>
      <c r="Y4209" s="12">
        <f>IF(OR(LEFT(K4209,4)="LVAX",LEFT(K4209,6)="MV15AX",LEFT(K4209,4)="CTAX",LEFT(K4209,2)="W|"),2*N4209*O4209,0)</f>
        <v/>
      </c>
      <c r="Z4209" s="12" t="inlineStr">
        <is>
          <t>VD 0.3 %</t>
        </is>
      </c>
      <c r="AA4209" s="12">
        <f>N4209*O4209</f>
        <v/>
      </c>
    </row>
    <row r="4210">
      <c r="A4210" s="12" t="inlineStr">
        <is>
          <t>H-P-0066</t>
        </is>
      </c>
      <c r="B4210" s="12" t="inlineStr">
        <is>
          <t>H</t>
        </is>
      </c>
      <c r="C4210" s="12" t="inlineStr">
        <is>
          <t>BESS</t>
        </is>
      </c>
      <c r="D4210" s="12" t="inlineStr">
        <is>
          <t>Motor 4 of 6, 2 kW</t>
        </is>
      </c>
      <c r="E4210" s="12" t="inlineStr"/>
      <c r="F4210" s="12" t="inlineStr">
        <is>
          <t>BESS auxiliary transformer</t>
        </is>
      </c>
      <c r="G4210" s="12" t="inlineStr">
        <is>
          <t>BESS MPT</t>
        </is>
      </c>
      <c r="H4210" s="12" t="inlineStr">
        <is>
          <t>BESS main power transformer 34.5/230 kV (to D4 upper)</t>
        </is>
      </c>
      <c r="I4210" s="12" t="inlineStr">
        <is>
          <t>LV 600 V</t>
        </is>
      </c>
      <c r="J4210" s="12" t="inlineStr">
        <is>
          <t>Type TC-ER 600 V 3/C Cu XHHW-2 + ground, PVC jacket</t>
        </is>
      </c>
      <c r="K4210" s="12" t="inlineStr">
        <is>
          <t>LV|3/C+G|10</t>
        </is>
      </c>
      <c r="L4210" s="12" t="inlineStr">
        <is>
          <t>3/C+G</t>
        </is>
      </c>
      <c r="M4210" s="12" t="inlineStr">
        <is>
          <t>10</t>
        </is>
      </c>
      <c r="N4210" s="12" t="n">
        <v>1</v>
      </c>
      <c r="O4210" s="12" t="n">
        <v>1</v>
      </c>
      <c r="P4210" s="12" t="n">
        <v>480</v>
      </c>
      <c r="Q4210" s="12" t="n">
        <v>2</v>
      </c>
      <c r="R4210" s="12" t="n">
        <v>2.8</v>
      </c>
      <c r="S4210" s="12" t="inlineStr">
        <is>
          <t>Duct bank</t>
        </is>
      </c>
      <c r="T4210" s="15" t="n">
        <v>180</v>
      </c>
      <c r="U4210" s="15" t="n">
        <v>32</v>
      </c>
      <c r="V4210" s="15">
        <f>ROUNDUP((T4210+U4210+2*'Read Me'!$B$13)*(1+'Read Me'!$B$12),-1)</f>
        <v/>
      </c>
      <c r="W4210" s="15">
        <f>V4210*N4210*O4210</f>
        <v/>
      </c>
      <c r="X4210" s="12">
        <f>IF(LEFT(I4210,2)="MV",2*N4210*IF(L4210="1/C",O4210,1),0)</f>
        <v/>
      </c>
      <c r="Y4210" s="12">
        <f>IF(OR(LEFT(K4210,4)="LVAX",LEFT(K4210,6)="MV15AX",LEFT(K4210,4)="CTAX",LEFT(K4210,2)="W|"),2*N4210*O4210,0)</f>
        <v/>
      </c>
      <c r="Z4210" s="12" t="inlineStr">
        <is>
          <t>VD 0.3 %</t>
        </is>
      </c>
      <c r="AA4210" s="12">
        <f>N4210*O4210</f>
        <v/>
      </c>
    </row>
    <row r="4211">
      <c r="A4211" s="12" t="inlineStr">
        <is>
          <t>H-P-0067</t>
        </is>
      </c>
      <c r="B4211" s="12" t="inlineStr">
        <is>
          <t>H</t>
        </is>
      </c>
      <c r="C4211" s="12" t="inlineStr">
        <is>
          <t>BESS</t>
        </is>
      </c>
      <c r="D4211" s="12" t="inlineStr">
        <is>
          <t>Motor 5 of 6, 2 kW</t>
        </is>
      </c>
      <c r="E4211" s="12" t="inlineStr"/>
      <c r="F4211" s="12" t="inlineStr">
        <is>
          <t>BESS auxiliary transformer</t>
        </is>
      </c>
      <c r="G4211" s="12" t="inlineStr">
        <is>
          <t>BESS MPT</t>
        </is>
      </c>
      <c r="H4211" s="12" t="inlineStr">
        <is>
          <t>BESS main power transformer 34.5/230 kV (to D4 upper)</t>
        </is>
      </c>
      <c r="I4211" s="12" t="inlineStr">
        <is>
          <t>LV 600 V</t>
        </is>
      </c>
      <c r="J4211" s="12" t="inlineStr">
        <is>
          <t>Type TC-ER 600 V 3/C Cu XHHW-2 + ground, PVC jacket</t>
        </is>
      </c>
      <c r="K4211" s="12" t="inlineStr">
        <is>
          <t>LV|3/C+G|10</t>
        </is>
      </c>
      <c r="L4211" s="12" t="inlineStr">
        <is>
          <t>3/C+G</t>
        </is>
      </c>
      <c r="M4211" s="12" t="inlineStr">
        <is>
          <t>10</t>
        </is>
      </c>
      <c r="N4211" s="12" t="n">
        <v>1</v>
      </c>
      <c r="O4211" s="12" t="n">
        <v>1</v>
      </c>
      <c r="P4211" s="12" t="n">
        <v>480</v>
      </c>
      <c r="Q4211" s="12" t="n">
        <v>2</v>
      </c>
      <c r="R4211" s="12" t="n">
        <v>2.8</v>
      </c>
      <c r="S4211" s="12" t="inlineStr">
        <is>
          <t>Duct bank</t>
        </is>
      </c>
      <c r="T4211" s="15" t="n">
        <v>180</v>
      </c>
      <c r="U4211" s="15" t="n">
        <v>32</v>
      </c>
      <c r="V4211" s="15">
        <f>ROUNDUP((T4211+U4211+2*'Read Me'!$B$13)*(1+'Read Me'!$B$12),-1)</f>
        <v/>
      </c>
      <c r="W4211" s="15">
        <f>V4211*N4211*O4211</f>
        <v/>
      </c>
      <c r="X4211" s="12">
        <f>IF(LEFT(I4211,2)="MV",2*N4211*IF(L4211="1/C",O4211,1),0)</f>
        <v/>
      </c>
      <c r="Y4211" s="12">
        <f>IF(OR(LEFT(K4211,4)="LVAX",LEFT(K4211,6)="MV15AX",LEFT(K4211,4)="CTAX",LEFT(K4211,2)="W|"),2*N4211*O4211,0)</f>
        <v/>
      </c>
      <c r="Z4211" s="12" t="inlineStr">
        <is>
          <t>VD 0.3 %</t>
        </is>
      </c>
      <c r="AA4211" s="12">
        <f>N4211*O4211</f>
        <v/>
      </c>
    </row>
    <row r="4212">
      <c r="A4212" s="12" t="inlineStr">
        <is>
          <t>H-P-0068</t>
        </is>
      </c>
      <c r="B4212" s="12" t="inlineStr">
        <is>
          <t>H</t>
        </is>
      </c>
      <c r="C4212" s="12" t="inlineStr">
        <is>
          <t>BESS</t>
        </is>
      </c>
      <c r="D4212" s="12" t="inlineStr">
        <is>
          <t>Motor 6 of 6, 2 kW</t>
        </is>
      </c>
      <c r="E4212" s="12" t="inlineStr"/>
      <c r="F4212" s="12" t="inlineStr">
        <is>
          <t>BESS auxiliary transformer</t>
        </is>
      </c>
      <c r="G4212" s="12" t="inlineStr">
        <is>
          <t>BESS MPT</t>
        </is>
      </c>
      <c r="H4212" s="12" t="inlineStr">
        <is>
          <t>BESS main power transformer 34.5/230 kV (to D4 upper)</t>
        </is>
      </c>
      <c r="I4212" s="12" t="inlineStr">
        <is>
          <t>LV 600 V</t>
        </is>
      </c>
      <c r="J4212" s="12" t="inlineStr">
        <is>
          <t>Type TC-ER 600 V 3/C Cu XHHW-2 + ground, PVC jacket</t>
        </is>
      </c>
      <c r="K4212" s="12" t="inlineStr">
        <is>
          <t>LV|3/C+G|10</t>
        </is>
      </c>
      <c r="L4212" s="12" t="inlineStr">
        <is>
          <t>3/C+G</t>
        </is>
      </c>
      <c r="M4212" s="12" t="inlineStr">
        <is>
          <t>10</t>
        </is>
      </c>
      <c r="N4212" s="12" t="n">
        <v>1</v>
      </c>
      <c r="O4212" s="12" t="n">
        <v>1</v>
      </c>
      <c r="P4212" s="12" t="n">
        <v>480</v>
      </c>
      <c r="Q4212" s="12" t="n">
        <v>2</v>
      </c>
      <c r="R4212" s="12" t="n">
        <v>2.8</v>
      </c>
      <c r="S4212" s="12" t="inlineStr">
        <is>
          <t>Duct bank</t>
        </is>
      </c>
      <c r="T4212" s="15" t="n">
        <v>180</v>
      </c>
      <c r="U4212" s="15" t="n">
        <v>32</v>
      </c>
      <c r="V4212" s="15">
        <f>ROUNDUP((T4212+U4212+2*'Read Me'!$B$13)*(1+'Read Me'!$B$12),-1)</f>
        <v/>
      </c>
      <c r="W4212" s="15">
        <f>V4212*N4212*O4212</f>
        <v/>
      </c>
      <c r="X4212" s="12">
        <f>IF(LEFT(I4212,2)="MV",2*N4212*IF(L4212="1/C",O4212,1),0)</f>
        <v/>
      </c>
      <c r="Y4212" s="12">
        <f>IF(OR(LEFT(K4212,4)="LVAX",LEFT(K4212,6)="MV15AX",LEFT(K4212,4)="CTAX",LEFT(K4212,2)="W|"),2*N4212*O4212,0)</f>
        <v/>
      </c>
      <c r="Z4212" s="12" t="inlineStr">
        <is>
          <t>VD 0.3 %</t>
        </is>
      </c>
      <c r="AA4212" s="12">
        <f>N4212*O4212</f>
        <v/>
      </c>
    </row>
    <row r="4213">
      <c r="A4213" s="12" t="inlineStr">
        <is>
          <t>H-P-0069</t>
        </is>
      </c>
      <c r="B4213" s="12" t="inlineStr">
        <is>
          <t>H</t>
        </is>
      </c>
      <c r="C4213" s="12" t="inlineStr">
        <is>
          <t>BESS</t>
        </is>
      </c>
      <c r="D4213" s="12" t="inlineStr">
        <is>
          <t>Yard lighting circuit 1 (10 floodlights)</t>
        </is>
      </c>
      <c r="E4213" s="12" t="inlineStr"/>
      <c r="F4213" s="12" t="inlineStr">
        <is>
          <t>BESS auxiliary transformer</t>
        </is>
      </c>
      <c r="G4213" s="12" t="inlineStr"/>
      <c r="H4213" s="12" t="inlineStr">
        <is>
          <t>BESS yard: surfacing, fence, gate, signage, lighting</t>
        </is>
      </c>
      <c r="I4213" s="12" t="inlineStr">
        <is>
          <t>LV 600 V</t>
        </is>
      </c>
      <c r="J4213" s="12" t="inlineStr">
        <is>
          <t>Type TC-ER 600 V 3/C Cu XHHW-2 + ground, PVC jacket</t>
        </is>
      </c>
      <c r="K4213" s="12" t="inlineStr">
        <is>
          <t>LV|3/C+G|8</t>
        </is>
      </c>
      <c r="L4213" s="12" t="inlineStr">
        <is>
          <t>3/C+G</t>
        </is>
      </c>
      <c r="M4213" s="12" t="inlineStr">
        <is>
          <t>8</t>
        </is>
      </c>
      <c r="N4213" s="12" t="n">
        <v>1</v>
      </c>
      <c r="O4213" s="12" t="n">
        <v>1</v>
      </c>
      <c r="P4213" s="12" t="n">
        <v>480</v>
      </c>
      <c r="Q4213" s="12" t="n">
        <v>4</v>
      </c>
      <c r="R4213" s="12" t="n">
        <v>6</v>
      </c>
      <c r="S4213" s="12" t="inlineStr">
        <is>
          <t>Buried</t>
        </is>
      </c>
      <c r="T4213" s="15" t="n">
        <v>900</v>
      </c>
      <c r="U4213" s="15" t="n">
        <v>30</v>
      </c>
      <c r="V4213" s="15">
        <f>ROUNDUP((T4213+U4213+2*'Read Me'!$B$13)*(1+'Read Me'!$B$12),-1)</f>
        <v/>
      </c>
      <c r="W4213" s="15">
        <f>V4213*N4213*O4213</f>
        <v/>
      </c>
      <c r="X4213" s="12">
        <f>IF(LEFT(I4213,2)="MV",2*N4213*IF(L4213="1/C",O4213,1),0)</f>
        <v/>
      </c>
      <c r="Y4213" s="12">
        <f>IF(OR(LEFT(K4213,4)="LVAX",LEFT(K4213,6)="MV15AX",LEFT(K4213,4)="CTAX",LEFT(K4213,2)="W|"),2*N4213*O4213,0)</f>
        <v/>
      </c>
      <c r="Z4213" s="12" t="inlineStr">
        <is>
          <t>pole to pole, buried</t>
        </is>
      </c>
      <c r="AA4213" s="12">
        <f>N4213*O4213</f>
        <v/>
      </c>
    </row>
    <row r="4214">
      <c r="A4214" s="12" t="inlineStr">
        <is>
          <t>H-P-0070</t>
        </is>
      </c>
      <c r="B4214" s="12" t="inlineStr">
        <is>
          <t>H</t>
        </is>
      </c>
      <c r="C4214" s="12" t="inlineStr">
        <is>
          <t>BESS</t>
        </is>
      </c>
      <c r="D4214" s="12" t="inlineStr">
        <is>
          <t>Yard lighting circuit 2 (10 floodlights)</t>
        </is>
      </c>
      <c r="E4214" s="12" t="inlineStr"/>
      <c r="F4214" s="12" t="inlineStr">
        <is>
          <t>BESS auxiliary transformer</t>
        </is>
      </c>
      <c r="G4214" s="12" t="inlineStr"/>
      <c r="H4214" s="12" t="inlineStr">
        <is>
          <t>BESS yard: surfacing, fence, gate, signage, lighting</t>
        </is>
      </c>
      <c r="I4214" s="12" t="inlineStr">
        <is>
          <t>LV 600 V</t>
        </is>
      </c>
      <c r="J4214" s="12" t="inlineStr">
        <is>
          <t>Type TC-ER 600 V 3/C Cu XHHW-2 + ground, PVC jacket</t>
        </is>
      </c>
      <c r="K4214" s="12" t="inlineStr">
        <is>
          <t>LV|3/C+G|8</t>
        </is>
      </c>
      <c r="L4214" s="12" t="inlineStr">
        <is>
          <t>3/C+G</t>
        </is>
      </c>
      <c r="M4214" s="12" t="inlineStr">
        <is>
          <t>8</t>
        </is>
      </c>
      <c r="N4214" s="12" t="n">
        <v>1</v>
      </c>
      <c r="O4214" s="12" t="n">
        <v>1</v>
      </c>
      <c r="P4214" s="12" t="n">
        <v>480</v>
      </c>
      <c r="Q4214" s="12" t="n">
        <v>4</v>
      </c>
      <c r="R4214" s="12" t="n">
        <v>6</v>
      </c>
      <c r="S4214" s="12" t="inlineStr">
        <is>
          <t>Buried</t>
        </is>
      </c>
      <c r="T4214" s="15" t="n">
        <v>900</v>
      </c>
      <c r="U4214" s="15" t="n">
        <v>30</v>
      </c>
      <c r="V4214" s="15">
        <f>ROUNDUP((T4214+U4214+2*'Read Me'!$B$13)*(1+'Read Me'!$B$12),-1)</f>
        <v/>
      </c>
      <c r="W4214" s="15">
        <f>V4214*N4214*O4214</f>
        <v/>
      </c>
      <c r="X4214" s="12">
        <f>IF(LEFT(I4214,2)="MV",2*N4214*IF(L4214="1/C",O4214,1),0)</f>
        <v/>
      </c>
      <c r="Y4214" s="12">
        <f>IF(OR(LEFT(K4214,4)="LVAX",LEFT(K4214,6)="MV15AX",LEFT(K4214,4)="CTAX",LEFT(K4214,2)="W|"),2*N4214*O4214,0)</f>
        <v/>
      </c>
      <c r="Z4214" s="12" t="inlineStr">
        <is>
          <t>pole to pole, buried</t>
        </is>
      </c>
      <c r="AA4214" s="12">
        <f>N4214*O4214</f>
        <v/>
      </c>
    </row>
    <row r="4215">
      <c r="A4215" s="12" t="inlineStr">
        <is>
          <t>H-P-0071</t>
        </is>
      </c>
      <c r="B4215" s="12" t="inlineStr">
        <is>
          <t>H</t>
        </is>
      </c>
      <c r="C4215" s="12" t="inlineStr">
        <is>
          <t>BESS</t>
        </is>
      </c>
      <c r="D4215" s="12" t="inlineStr">
        <is>
          <t>Yard lighting circuit 3 (4 floodlights)</t>
        </is>
      </c>
      <c r="E4215" s="12" t="inlineStr"/>
      <c r="F4215" s="12" t="inlineStr">
        <is>
          <t>BESS auxiliary transformer</t>
        </is>
      </c>
      <c r="G4215" s="12" t="inlineStr"/>
      <c r="H4215" s="12" t="inlineStr">
        <is>
          <t>BESS yard: surfacing, fence, gate, signage, lighting</t>
        </is>
      </c>
      <c r="I4215" s="12" t="inlineStr">
        <is>
          <t>LV 600 V</t>
        </is>
      </c>
      <c r="J4215" s="12" t="inlineStr">
        <is>
          <t>Type TC-ER 600 V 3/C Cu XHHW-2 + ground, PVC jacket</t>
        </is>
      </c>
      <c r="K4215" s="12" t="inlineStr">
        <is>
          <t>LV|3/C+G|8</t>
        </is>
      </c>
      <c r="L4215" s="12" t="inlineStr">
        <is>
          <t>3/C+G</t>
        </is>
      </c>
      <c r="M4215" s="12" t="inlineStr">
        <is>
          <t>8</t>
        </is>
      </c>
      <c r="N4215" s="12" t="n">
        <v>1</v>
      </c>
      <c r="O4215" s="12" t="n">
        <v>1</v>
      </c>
      <c r="P4215" s="12" t="n">
        <v>480</v>
      </c>
      <c r="Q4215" s="12" t="n">
        <v>4</v>
      </c>
      <c r="R4215" s="12" t="n">
        <v>6</v>
      </c>
      <c r="S4215" s="12" t="inlineStr">
        <is>
          <t>Buried</t>
        </is>
      </c>
      <c r="T4215" s="15" t="n">
        <v>900</v>
      </c>
      <c r="U4215" s="15" t="n">
        <v>30</v>
      </c>
      <c r="V4215" s="15">
        <f>ROUNDUP((T4215+U4215+2*'Read Me'!$B$13)*(1+'Read Me'!$B$12),-1)</f>
        <v/>
      </c>
      <c r="W4215" s="15">
        <f>V4215*N4215*O4215</f>
        <v/>
      </c>
      <c r="X4215" s="12">
        <f>IF(LEFT(I4215,2)="MV",2*N4215*IF(L4215="1/C",O4215,1),0)</f>
        <v/>
      </c>
      <c r="Y4215" s="12">
        <f>IF(OR(LEFT(K4215,4)="LVAX",LEFT(K4215,6)="MV15AX",LEFT(K4215,4)="CTAX",LEFT(K4215,2)="W|"),2*N4215*O4215,0)</f>
        <v/>
      </c>
      <c r="Z4215" s="12" t="inlineStr">
        <is>
          <t>pole to pole, buried</t>
        </is>
      </c>
      <c r="AA4215" s="12">
        <f>N4215*O4215</f>
        <v/>
      </c>
    </row>
    <row r="4216">
      <c r="A4216" s="12" t="inlineStr">
        <is>
          <t>H-MV-0001</t>
        </is>
      </c>
      <c r="B4216" s="12" t="inlineStr">
        <is>
          <t>H</t>
        </is>
      </c>
      <c r="C4216" s="12" t="inlineStr">
        <is>
          <t>BESS</t>
        </is>
      </c>
      <c r="D4216" s="12" t="inlineStr">
        <is>
          <t>34.5 kV collection loop 1</t>
        </is>
      </c>
      <c r="E4216" s="12" t="inlineStr"/>
      <c r="F4216" s="12" t="inlineStr">
        <is>
          <t>BESS PCS / MV skid</t>
        </is>
      </c>
      <c r="G4216" s="12" t="inlineStr"/>
      <c r="H4216" s="12" t="inlineStr">
        <is>
          <t>34.5 kV collector e-house (arc-resistant)</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Duct bank</t>
        </is>
      </c>
      <c r="T4216" s="15" t="n">
        <v>556</v>
      </c>
      <c r="U4216" s="15" t="n">
        <v>37</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H-MV-0002</t>
        </is>
      </c>
      <c r="B4217" s="12" t="inlineStr">
        <is>
          <t>H</t>
        </is>
      </c>
      <c r="C4217" s="12" t="inlineStr">
        <is>
          <t>BESS</t>
        </is>
      </c>
      <c r="D4217" s="12" t="inlineStr">
        <is>
          <t>34.5 kV collection loop 2</t>
        </is>
      </c>
      <c r="E4217" s="12" t="inlineStr"/>
      <c r="F4217" s="12" t="inlineStr">
        <is>
          <t>BESS PCS / MV skid</t>
        </is>
      </c>
      <c r="G4217" s="12" t="inlineStr"/>
      <c r="H4217" s="12" t="inlineStr">
        <is>
          <t>34.5 kV collector e-house (arc-resistant)</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Duct bank</t>
        </is>
      </c>
      <c r="T4217" s="15" t="n">
        <v>436</v>
      </c>
      <c r="U4217" s="15" t="n">
        <v>37</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H-MV-0003</t>
        </is>
      </c>
      <c r="B4218" s="12" t="inlineStr">
        <is>
          <t>H</t>
        </is>
      </c>
      <c r="C4218" s="12" t="inlineStr">
        <is>
          <t>BESS</t>
        </is>
      </c>
      <c r="D4218" s="12" t="inlineStr">
        <is>
          <t>34.5 kV collection loop 3</t>
        </is>
      </c>
      <c r="E4218" s="12" t="inlineStr"/>
      <c r="F4218" s="12" t="inlineStr">
        <is>
          <t>BESS PCS / MV skid</t>
        </is>
      </c>
      <c r="G4218" s="12" t="inlineStr"/>
      <c r="H4218" s="12" t="inlineStr">
        <is>
          <t>34.5 kV collector e-house (arc-resistant)</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Duct bank</t>
        </is>
      </c>
      <c r="T4218" s="15" t="n">
        <v>350</v>
      </c>
      <c r="U4218" s="15" t="n">
        <v>42</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H-MV-0004</t>
        </is>
      </c>
      <c r="B4219" s="12" t="inlineStr">
        <is>
          <t>H</t>
        </is>
      </c>
      <c r="C4219" s="12" t="inlineStr">
        <is>
          <t>BESS</t>
        </is>
      </c>
      <c r="D4219" s="12" t="inlineStr">
        <is>
          <t>34.5 kV collection loop 1</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254</v>
      </c>
      <c r="U4219" s="15" t="n">
        <v>103</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H-MV-0005</t>
        </is>
      </c>
      <c r="B4220" s="12" t="inlineStr">
        <is>
          <t>H</t>
        </is>
      </c>
      <c r="C4220" s="12" t="inlineStr">
        <is>
          <t>BESS</t>
        </is>
      </c>
      <c r="D4220" s="12" t="inlineStr">
        <is>
          <t>34.5 kV collection loop 1</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232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H-MV-0006</t>
        </is>
      </c>
      <c r="B4221" s="12" t="inlineStr">
        <is>
          <t>H</t>
        </is>
      </c>
      <c r="C4221" s="12" t="inlineStr">
        <is>
          <t>BESS</t>
        </is>
      </c>
      <c r="D4221" s="12" t="inlineStr">
        <is>
          <t>34.5 kV collection loop 1</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348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H-MV-0007</t>
        </is>
      </c>
      <c r="B4222" s="12" t="inlineStr">
        <is>
          <t>H</t>
        </is>
      </c>
      <c r="C4222" s="12" t="inlineStr">
        <is>
          <t>BESS</t>
        </is>
      </c>
      <c r="D4222" s="12" t="inlineStr">
        <is>
          <t>34.5 kV collection loop 1</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H-MV-0008</t>
        </is>
      </c>
      <c r="B4223" s="12" t="inlineStr">
        <is>
          <t>H</t>
        </is>
      </c>
      <c r="C4223" s="12" t="inlineStr">
        <is>
          <t>BESS</t>
        </is>
      </c>
      <c r="D4223" s="12" t="inlineStr">
        <is>
          <t>34.5 kV collection loop 1</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H-MV-0009</t>
        </is>
      </c>
      <c r="B4224" s="12" t="inlineStr">
        <is>
          <t>H</t>
        </is>
      </c>
      <c r="C4224" s="12" t="inlineStr">
        <is>
          <t>BESS</t>
        </is>
      </c>
      <c r="D4224" s="12" t="inlineStr">
        <is>
          <t>34.5 kV collection loop 2</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35</v>
      </c>
      <c r="U4224" s="15" t="n">
        <v>185</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H-MV-0010</t>
        </is>
      </c>
      <c r="B4225" s="12" t="inlineStr">
        <is>
          <t>H</t>
        </is>
      </c>
      <c r="C4225" s="12" t="inlineStr">
        <is>
          <t>BESS</t>
        </is>
      </c>
      <c r="D4225" s="12" t="inlineStr">
        <is>
          <t>34.5 kV collection loop 2</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272</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H-MV-0011</t>
        </is>
      </c>
      <c r="B4226" s="12" t="inlineStr">
        <is>
          <t>H</t>
        </is>
      </c>
      <c r="C4226" s="12" t="inlineStr">
        <is>
          <t>BESS</t>
        </is>
      </c>
      <c r="D4226" s="12" t="inlineStr">
        <is>
          <t>34.5 kV collection loop 2</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Tray</t>
        </is>
      </c>
      <c r="T4226" s="15" t="n">
        <v>0</v>
      </c>
      <c r="U4226" s="15" t="n">
        <v>388</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H-MV-0012</t>
        </is>
      </c>
      <c r="B4227" s="12" t="inlineStr">
        <is>
          <t>H</t>
        </is>
      </c>
      <c r="C4227" s="12" t="inlineStr">
        <is>
          <t>BESS</t>
        </is>
      </c>
      <c r="D4227" s="12" t="inlineStr">
        <is>
          <t>34.5 kV collection loop 2</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H-MV-0013</t>
        </is>
      </c>
      <c r="B4228" s="12" t="inlineStr">
        <is>
          <t>H</t>
        </is>
      </c>
      <c r="C4228" s="12" t="inlineStr">
        <is>
          <t>BESS</t>
        </is>
      </c>
      <c r="D4228" s="12" t="inlineStr">
        <is>
          <t>34.5 kV collection loop 2</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H-MV-0014</t>
        </is>
      </c>
      <c r="B4229" s="12" t="inlineStr">
        <is>
          <t>H</t>
        </is>
      </c>
      <c r="C4229" s="12" t="inlineStr">
        <is>
          <t>BESS</t>
        </is>
      </c>
      <c r="D4229" s="12" t="inlineStr">
        <is>
          <t>34.5 kV collection loop 3</t>
        </is>
      </c>
      <c r="E4229" s="12" t="inlineStr"/>
      <c r="F4229" s="12" t="inlineStr">
        <is>
          <t>34.5 kV collector e-house (arc-resistant)</t>
        </is>
      </c>
      <c r="G4229" s="12" t="inlineStr"/>
      <c r="H4229" s="12" t="inlineStr">
        <is>
          <t>BESS PCS / MV skid</t>
        </is>
      </c>
      <c r="I4229" s="12" t="inlineStr">
        <is>
          <t>MV 35 kV</t>
        </is>
      </c>
      <c r="J4229" s="12" t="inlineStr">
        <is>
          <t>MV-105 35 kV 1/C Al, EPR 133%, 1/3 concentric neutral, LLDPE jacket</t>
        </is>
      </c>
      <c r="K4229" s="12" t="inlineStr">
        <is>
          <t>MV35|1/C|350</t>
        </is>
      </c>
      <c r="L4229" s="12" t="inlineStr">
        <is>
          <t>1/C</t>
        </is>
      </c>
      <c r="M4229" s="12" t="inlineStr">
        <is>
          <t>350 kcmil</t>
        </is>
      </c>
      <c r="N4229" s="12" t="n">
        <v>2</v>
      </c>
      <c r="O4229" s="12" t="n">
        <v>3</v>
      </c>
      <c r="P4229" s="12" t="n">
        <v>34500</v>
      </c>
      <c r="Q4229" s="12" t="n">
        <v>25000</v>
      </c>
      <c r="R4229" s="12" t="n">
        <v>418</v>
      </c>
      <c r="S4229" s="12" t="inlineStr">
        <is>
          <t>Duct bank</t>
        </is>
      </c>
      <c r="T4229" s="15" t="n">
        <v>24</v>
      </c>
      <c r="U4229" s="15" t="n">
        <v>123</v>
      </c>
      <c r="V4229" s="15">
        <f>ROUNDUP((T4229+U4229+2*'Read Me'!$B$13)*(1+'Read Me'!$B$12),-1)</f>
        <v/>
      </c>
      <c r="W4229" s="15">
        <f>V4229*N4229*O4229</f>
        <v/>
      </c>
      <c r="X4229" s="12">
        <f>IF(LEFT(I4229,2)="MV",2*N4229*IF(L4229="1/C",O4229,1),0)</f>
        <v/>
      </c>
      <c r="Y4229" s="12">
        <f>IF(OR(LEFT(K4229,4)="LVAX",LEFT(K4229,6)="MV15AX",LEFT(K4229,4)="CTAX",LEFT(K4229,2)="W|"),2*N4229*O4229,0)</f>
        <v/>
      </c>
      <c r="Z4229" s="12" t="inlineStr"/>
      <c r="AA4229" s="12">
        <f>N4229*O4229</f>
        <v/>
      </c>
    </row>
    <row r="4230">
      <c r="A4230" s="12" t="inlineStr">
        <is>
          <t>H-MV-0015</t>
        </is>
      </c>
      <c r="B4230" s="12" t="inlineStr">
        <is>
          <t>H</t>
        </is>
      </c>
      <c r="C4230" s="12" t="inlineStr">
        <is>
          <t>BESS</t>
        </is>
      </c>
      <c r="D4230" s="12" t="inlineStr">
        <is>
          <t>34.5 kV collection loop 3</t>
        </is>
      </c>
      <c r="E4230" s="12" t="inlineStr"/>
      <c r="F4230" s="12" t="inlineStr">
        <is>
          <t>BESS PCS / MV skid</t>
        </is>
      </c>
      <c r="G4230" s="12" t="inlineStr"/>
      <c r="H4230" s="12" t="inlineStr">
        <is>
          <t>BESS PCS / MV skid</t>
        </is>
      </c>
      <c r="I4230" s="12" t="inlineStr">
        <is>
          <t>MV 35 kV</t>
        </is>
      </c>
      <c r="J4230" s="12" t="inlineStr">
        <is>
          <t>MV-105 35 kV 1/C Al, EPR 133%, 1/3 concentric neutral, LLDPE jacket</t>
        </is>
      </c>
      <c r="K4230" s="12" t="inlineStr">
        <is>
          <t>MV35|1/C|350</t>
        </is>
      </c>
      <c r="L4230" s="12" t="inlineStr">
        <is>
          <t>1/C</t>
        </is>
      </c>
      <c r="M4230" s="12" t="inlineStr">
        <is>
          <t>350 kcmil</t>
        </is>
      </c>
      <c r="N4230" s="12" t="n">
        <v>2</v>
      </c>
      <c r="O4230" s="12" t="n">
        <v>3</v>
      </c>
      <c r="P4230" s="12" t="n">
        <v>34500</v>
      </c>
      <c r="Q4230" s="12" t="n">
        <v>25000</v>
      </c>
      <c r="R4230" s="12" t="n">
        <v>418</v>
      </c>
      <c r="S4230" s="12" t="inlineStr">
        <is>
          <t>Tray</t>
        </is>
      </c>
      <c r="T4230" s="15" t="n">
        <v>0</v>
      </c>
      <c r="U4230" s="15" t="n">
        <v>240</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H-MV-0016</t>
        </is>
      </c>
      <c r="B4231" s="12" t="inlineStr">
        <is>
          <t>H</t>
        </is>
      </c>
      <c r="C4231" s="12" t="inlineStr">
        <is>
          <t>BESS</t>
        </is>
      </c>
      <c r="D4231" s="12" t="inlineStr">
        <is>
          <t>34.5 kV collection loop 3</t>
        </is>
      </c>
      <c r="E4231" s="12" t="inlineStr"/>
      <c r="F4231" s="12" t="inlineStr">
        <is>
          <t>BESS PCS / MV skid</t>
        </is>
      </c>
      <c r="G4231" s="12" t="inlineStr"/>
      <c r="H4231" s="12" t="inlineStr">
        <is>
          <t>BESS PCS / MV skid</t>
        </is>
      </c>
      <c r="I4231" s="12" t="inlineStr">
        <is>
          <t>MV 35 kV</t>
        </is>
      </c>
      <c r="J4231" s="12" t="inlineStr">
        <is>
          <t>MV-105 35 kV 1/C Al, EPR 133%, 1/3 concentric neutral, LLDPE jacket</t>
        </is>
      </c>
      <c r="K4231" s="12" t="inlineStr">
        <is>
          <t>MV35|1/C|350</t>
        </is>
      </c>
      <c r="L4231" s="12" t="inlineStr">
        <is>
          <t>1/C</t>
        </is>
      </c>
      <c r="M4231" s="12" t="inlineStr">
        <is>
          <t>350 kcmil</t>
        </is>
      </c>
      <c r="N4231" s="12" t="n">
        <v>2</v>
      </c>
      <c r="O4231" s="12" t="n">
        <v>3</v>
      </c>
      <c r="P4231" s="12" t="n">
        <v>34500</v>
      </c>
      <c r="Q4231" s="12" t="n">
        <v>25000</v>
      </c>
      <c r="R4231" s="12" t="n">
        <v>418</v>
      </c>
      <c r="S4231" s="12" t="inlineStr">
        <is>
          <t>Duct bank</t>
        </is>
      </c>
      <c r="T4231" s="15" t="n">
        <v>306</v>
      </c>
      <c r="U4231" s="15" t="n">
        <v>282</v>
      </c>
      <c r="V4231" s="15">
        <f>ROUNDUP((T4231+U4231+2*'Read Me'!$B$13)*(1+'Read Me'!$B$12),-1)</f>
        <v/>
      </c>
      <c r="W4231" s="15">
        <f>V4231*N4231*O4231</f>
        <v/>
      </c>
      <c r="X4231" s="12">
        <f>IF(LEFT(I4231,2)="MV",2*N4231*IF(L4231="1/C",O4231,1),0)</f>
        <v/>
      </c>
      <c r="Y4231" s="12">
        <f>IF(OR(LEFT(K4231,4)="LVAX",LEFT(K4231,6)="MV15AX",LEFT(K4231,4)="CTAX",LEFT(K4231,2)="W|"),2*N4231*O4231,0)</f>
        <v/>
      </c>
      <c r="Z4231" s="12" t="inlineStr"/>
      <c r="AA4231" s="12">
        <f>N4231*O4231</f>
        <v/>
      </c>
    </row>
    <row r="4232">
      <c r="A4232" s="12" t="inlineStr">
        <is>
          <t>H-MV-0017</t>
        </is>
      </c>
      <c r="B4232" s="12" t="inlineStr">
        <is>
          <t>H</t>
        </is>
      </c>
      <c r="C4232" s="12" t="inlineStr">
        <is>
          <t>BESS</t>
        </is>
      </c>
      <c r="D4232" s="12" t="inlineStr">
        <is>
          <t>34.5 kV collection loop 3</t>
        </is>
      </c>
      <c r="E4232" s="12" t="inlineStr"/>
      <c r="F4232" s="12" t="inlineStr">
        <is>
          <t>BESS PCS / MV skid</t>
        </is>
      </c>
      <c r="G4232" s="12" t="inlineStr"/>
      <c r="H4232" s="12" t="inlineStr">
        <is>
          <t>BESS PCS / MV skid</t>
        </is>
      </c>
      <c r="I4232" s="12" t="inlineStr">
        <is>
          <t>MV 35 kV</t>
        </is>
      </c>
      <c r="J4232" s="12" t="inlineStr">
        <is>
          <t>MV-105 35 kV 1/C Al, EPR 133%, 1/3 concentric neutral, LLDPE jacket</t>
        </is>
      </c>
      <c r="K4232" s="12" t="inlineStr">
        <is>
          <t>MV35|1/C|350</t>
        </is>
      </c>
      <c r="L4232" s="12" t="inlineStr">
        <is>
          <t>1/C</t>
        </is>
      </c>
      <c r="M4232" s="12" t="inlineStr">
        <is>
          <t>350 kcmil</t>
        </is>
      </c>
      <c r="N4232" s="12" t="n">
        <v>2</v>
      </c>
      <c r="O4232" s="12" t="n">
        <v>3</v>
      </c>
      <c r="P4232" s="12" t="n">
        <v>34500</v>
      </c>
      <c r="Q4232" s="12" t="n">
        <v>25000</v>
      </c>
      <c r="R4232" s="12" t="n">
        <v>418</v>
      </c>
      <c r="S4232" s="12" t="inlineStr">
        <is>
          <t>Tray</t>
        </is>
      </c>
      <c r="T4232" s="15" t="n">
        <v>0</v>
      </c>
      <c r="U4232" s="15" t="n">
        <v>208</v>
      </c>
      <c r="V4232" s="15">
        <f>ROUNDUP((T4232+U4232+2*'Read Me'!$B$13)*(1+'Read Me'!$B$12),-1)</f>
        <v/>
      </c>
      <c r="W4232" s="15">
        <f>V4232*N4232*O4232</f>
        <v/>
      </c>
      <c r="X4232" s="12">
        <f>IF(LEFT(I4232,2)="MV",2*N4232*IF(L4232="1/C",O4232,1),0)</f>
        <v/>
      </c>
      <c r="Y4232" s="12">
        <f>IF(OR(LEFT(K4232,4)="LVAX",LEFT(K4232,6)="MV15AX",LEFT(K4232,4)="CTAX",LEFT(K4232,2)="W|"),2*N4232*O4232,0)</f>
        <v/>
      </c>
      <c r="Z4232" s="12" t="inlineStr"/>
      <c r="AA4232" s="12">
        <f>N4232*O4232</f>
        <v/>
      </c>
    </row>
    <row r="4233">
      <c r="A4233" s="12" t="inlineStr">
        <is>
          <t>H-MV-0018</t>
        </is>
      </c>
      <c r="B4233" s="12" t="inlineStr">
        <is>
          <t>H</t>
        </is>
      </c>
      <c r="C4233" s="12" t="inlineStr">
        <is>
          <t>BESS</t>
        </is>
      </c>
      <c r="D4233" s="12" t="inlineStr">
        <is>
          <t>34.5 kV collection loop 3</t>
        </is>
      </c>
      <c r="E4233" s="12" t="inlineStr"/>
      <c r="F4233" s="12" t="inlineStr">
        <is>
          <t>BESS PCS / MV skid</t>
        </is>
      </c>
      <c r="G4233" s="12" t="inlineStr"/>
      <c r="H4233" s="12" t="inlineStr">
        <is>
          <t>BESS PCS / MV skid</t>
        </is>
      </c>
      <c r="I4233" s="12" t="inlineStr">
        <is>
          <t>MV 35 kV</t>
        </is>
      </c>
      <c r="J4233" s="12" t="inlineStr">
        <is>
          <t>MV-105 35 kV 1/C Al, EPR 133%, 1/3 concentric neutral, LLDPE jacket</t>
        </is>
      </c>
      <c r="K4233" s="12" t="inlineStr">
        <is>
          <t>MV35|1/C|350</t>
        </is>
      </c>
      <c r="L4233" s="12" t="inlineStr">
        <is>
          <t>1/C</t>
        </is>
      </c>
      <c r="M4233" s="12" t="inlineStr">
        <is>
          <t>350 kcmil</t>
        </is>
      </c>
      <c r="N4233" s="12" t="n">
        <v>2</v>
      </c>
      <c r="O4233" s="12" t="n">
        <v>3</v>
      </c>
      <c r="P4233" s="12" t="n">
        <v>34500</v>
      </c>
      <c r="Q4233" s="12" t="n">
        <v>25000</v>
      </c>
      <c r="R4233" s="12" t="n">
        <v>418</v>
      </c>
      <c r="S4233" s="12" t="inlineStr">
        <is>
          <t>Tray</t>
        </is>
      </c>
      <c r="T4233" s="15" t="n">
        <v>0</v>
      </c>
      <c r="U4233" s="15" t="n">
        <v>96</v>
      </c>
      <c r="V4233" s="15">
        <f>ROUNDUP((T4233+U4233+2*'Read Me'!$B$13)*(1+'Read Me'!$B$12),-1)</f>
        <v/>
      </c>
      <c r="W4233" s="15">
        <f>V4233*N4233*O4233</f>
        <v/>
      </c>
      <c r="X4233" s="12">
        <f>IF(LEFT(I4233,2)="MV",2*N4233*IF(L4233="1/C",O4233,1),0)</f>
        <v/>
      </c>
      <c r="Y4233" s="12">
        <f>IF(OR(LEFT(K4233,4)="LVAX",LEFT(K4233,6)="MV15AX",LEFT(K4233,4)="CTAX",LEFT(K4233,2)="W|"),2*N4233*O4233,0)</f>
        <v/>
      </c>
      <c r="Z4233" s="12" t="inlineStr"/>
      <c r="AA4233" s="12">
        <f>N4233*O4233</f>
        <v/>
      </c>
    </row>
    <row r="4234">
      <c r="A4234" s="12" t="inlineStr">
        <is>
          <t>H-MV-0019</t>
        </is>
      </c>
      <c r="B4234" s="12" t="inlineStr">
        <is>
          <t>H</t>
        </is>
      </c>
      <c r="C4234" s="12" t="inlineStr">
        <is>
          <t>BESS</t>
        </is>
      </c>
      <c r="D4234" s="12" t="inlineStr">
        <is>
          <t>BESS MPT 34.5 kV side</t>
        </is>
      </c>
      <c r="E4234" s="12" t="inlineStr"/>
      <c r="F4234" s="12" t="inlineStr">
        <is>
          <t>34.5 kV collector e-house (arc-resistant)</t>
        </is>
      </c>
      <c r="G4234" s="12" t="inlineStr">
        <is>
          <t>BESS MPT</t>
        </is>
      </c>
      <c r="H4234" s="12" t="inlineStr">
        <is>
          <t>BESS main power transformer 34.5/230 kV (to D4 upper)</t>
        </is>
      </c>
      <c r="I4234" s="12" t="inlineStr">
        <is>
          <t>MV 35 kV</t>
        </is>
      </c>
      <c r="J4234" s="12" t="inlineStr">
        <is>
          <t>MV-105 35 kV 1/C Al, EPR 133%, 1/3 concentric neutral, LLDPE jacket</t>
        </is>
      </c>
      <c r="K4234" s="12" t="inlineStr">
        <is>
          <t>MV35|1/C|750</t>
        </is>
      </c>
      <c r="L4234" s="12" t="inlineStr">
        <is>
          <t>1/C</t>
        </is>
      </c>
      <c r="M4234" s="12" t="inlineStr">
        <is>
          <t>750 kcmil</t>
        </is>
      </c>
      <c r="N4234" s="12" t="n">
        <v>5</v>
      </c>
      <c r="O4234" s="12" t="n">
        <v>3</v>
      </c>
      <c r="P4234" s="12" t="n">
        <v>34500</v>
      </c>
      <c r="Q4234" s="12" t="n">
        <v>100000</v>
      </c>
      <c r="R4234" s="12" t="n">
        <v>1674</v>
      </c>
      <c r="S4234" s="12" t="inlineStr">
        <is>
          <t>Duct bank</t>
        </is>
      </c>
      <c r="T4234" s="15" t="n">
        <v>35</v>
      </c>
      <c r="U4234" s="15" t="n">
        <v>32</v>
      </c>
      <c r="V4234" s="15">
        <f>ROUNDUP((T4234+U4234+2*'Read Me'!$B$13)*(1+'Read Me'!$B$12),-1)</f>
        <v/>
      </c>
      <c r="W4234" s="15">
        <f>V4234*N4234*O4234</f>
        <v/>
      </c>
      <c r="X4234" s="12">
        <f>IF(LEFT(I4234,2)="MV",2*N4234*IF(L4234="1/C",O4234,1),0)</f>
        <v/>
      </c>
      <c r="Y4234" s="12">
        <f>IF(OR(LEFT(K4234,4)="LVAX",LEFT(K4234,6)="MV15AX",LEFT(K4234,4)="CTAX",LEFT(K4234,2)="W|"),2*N4234*O4234,0)</f>
        <v/>
      </c>
      <c r="Z4234" s="12" t="inlineStr">
        <is>
          <t>100 MVA (typ.)</t>
        </is>
      </c>
      <c r="AA4234" s="12">
        <f>N4234*O4234</f>
        <v/>
      </c>
    </row>
    <row r="4235">
      <c r="A4235" s="12" t="inlineStr">
        <is>
          <t>H-MV-0020</t>
        </is>
      </c>
      <c r="B4235" s="12" t="inlineStr">
        <is>
          <t>H</t>
        </is>
      </c>
      <c r="C4235" s="12" t="inlineStr">
        <is>
          <t>BESS</t>
        </is>
      </c>
      <c r="D4235" s="12" t="inlineStr">
        <is>
          <t>Grounding transformer connection (34.5 kV)</t>
        </is>
      </c>
      <c r="E4235" s="12" t="inlineStr"/>
      <c r="F4235" s="12" t="inlineStr">
        <is>
          <t>34.5 kV collector e-house (arc-resistant)</t>
        </is>
      </c>
      <c r="G4235" s="12" t="inlineStr"/>
      <c r="H4235" s="12" t="inlineStr">
        <is>
          <t>CONDITIONAL: grounding transformer</t>
        </is>
      </c>
      <c r="I4235" s="12" t="inlineStr">
        <is>
          <t>MV 35 kV</t>
        </is>
      </c>
      <c r="J4235" s="12" t="inlineStr">
        <is>
          <t>MV-105 35 kV 1/C Al, EPR 133%, 1/3 concentric neutral, LLDPE jacket</t>
        </is>
      </c>
      <c r="K4235" s="12" t="inlineStr">
        <is>
          <t>MV35|1/C|2</t>
        </is>
      </c>
      <c r="L4235" s="12" t="inlineStr">
        <is>
          <t>1/C</t>
        </is>
      </c>
      <c r="M4235" s="12" t="inlineStr">
        <is>
          <t>2</t>
        </is>
      </c>
      <c r="N4235" s="12" t="n">
        <v>1</v>
      </c>
      <c r="O4235" s="12" t="n">
        <v>3</v>
      </c>
      <c r="P4235" s="12" t="n">
        <v>34500</v>
      </c>
      <c r="Q4235" s="12" t="n">
        <v>2000</v>
      </c>
      <c r="R4235" s="12" t="n">
        <v>33</v>
      </c>
      <c r="S4235" s="12" t="inlineStr">
        <is>
          <t>Duct bank</t>
        </is>
      </c>
      <c r="T4235" s="15" t="n">
        <v>234</v>
      </c>
      <c r="U4235" s="15" t="n">
        <v>87</v>
      </c>
      <c r="V4235" s="15">
        <f>ROUNDUP((T4235+U4235+2*'Read Me'!$B$13)*(1+'Read Me'!$B$12),-1)</f>
        <v/>
      </c>
      <c r="W4235" s="15">
        <f>V4235*N4235*O4235</f>
        <v/>
      </c>
      <c r="X4235" s="12">
        <f>IF(LEFT(I4235,2)="MV",2*N4235*IF(L4235="1/C",O4235,1),0)</f>
        <v/>
      </c>
      <c r="Y4235" s="12">
        <f>IF(OR(LEFT(K4235,4)="LVAX",LEFT(K4235,6)="MV15AX",LEFT(K4235,4)="CTAX",LEFT(K4235,2)="W|"),2*N4235*O4235,0)</f>
        <v/>
      </c>
      <c r="Z4235" s="12" t="inlineStr"/>
      <c r="AA4235" s="12">
        <f>N4235*O4235</f>
        <v/>
      </c>
    </row>
    <row r="4236">
      <c r="A4236" s="12" t="inlineStr">
        <is>
          <t>I-L-0001</t>
        </is>
      </c>
      <c r="B4236" s="12" t="inlineStr">
        <is>
          <t>I</t>
        </is>
      </c>
      <c r="C4236" s="12" t="inlineStr">
        <is>
          <t>Modular / portable power</t>
        </is>
      </c>
      <c r="D4236" s="12" t="inlineStr">
        <is>
          <t>Lighting, receptacles and small power branch circuits (allowance)</t>
        </is>
      </c>
      <c r="E4236" s="12" t="inlineStr"/>
      <c r="F4236" s="12" t="inlineStr">
        <is>
          <t>Lube oil / starting air / oily water building</t>
        </is>
      </c>
      <c r="G4236" s="12" t="inlineStr"/>
      <c r="H4236" s="12" t="inlineStr">
        <is>
          <t>Lube oil / starting air / oily water building</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10560</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I-L-0002</t>
        </is>
      </c>
      <c r="B4237" s="12" t="inlineStr">
        <is>
          <t>I</t>
        </is>
      </c>
      <c r="C4237" s="12" t="inlineStr">
        <is>
          <t>Modular / portable power</t>
        </is>
      </c>
      <c r="D4237" s="12" t="inlineStr">
        <is>
          <t>Lighting, receptacles and small power branch circuits (allowance)</t>
        </is>
      </c>
      <c r="E4237" s="12" t="inlineStr">
        <is>
          <t>MOD-EH</t>
        </is>
      </c>
      <c r="F4237" s="12" t="inlineStr">
        <is>
          <t>MOD-EH: 34.5 kV modular collector e-house (2 bus sections + 13.8 kV st</t>
        </is>
      </c>
      <c r="G4237" s="12" t="inlineStr">
        <is>
          <t>MOD-EH</t>
        </is>
      </c>
      <c r="H4237" s="12" t="inlineStr">
        <is>
          <t>MOD-EH: 34.5 kV modular collector e-house (2 bus sections + 13.8 kV st</t>
        </is>
      </c>
      <c r="I4237" s="12" t="inlineStr">
        <is>
          <t>Building wire</t>
        </is>
      </c>
      <c r="J4237" s="12" t="inlineStr">
        <is>
          <t>SIMpull THHN/THWN-2 600 V 1/C Cu (lighting, receptacles, small power)</t>
        </is>
      </c>
      <c r="K4237" s="12" t="inlineStr">
        <is>
          <t>THHN|1/C|12</t>
        </is>
      </c>
      <c r="L4237" s="12" t="inlineStr">
        <is>
          <t>1/C</t>
        </is>
      </c>
      <c r="M4237" s="12" t="inlineStr">
        <is>
          <t>12</t>
        </is>
      </c>
      <c r="N4237" s="12" t="n">
        <v>1</v>
      </c>
      <c r="O4237" s="12" t="n">
        <v>1</v>
      </c>
      <c r="P4237" s="12" t="n">
        <v>277</v>
      </c>
      <c r="Q4237" s="12" t="n"/>
      <c r="R4237" s="12" t="n"/>
      <c r="S4237" s="12" t="inlineStr">
        <is>
          <t>Conduit</t>
        </is>
      </c>
      <c r="T4237" s="15" t="n">
        <v>2560</v>
      </c>
      <c r="U4237" s="15" t="n">
        <v>0</v>
      </c>
      <c r="V4237" s="15">
        <f>ROUNDUP((T4237+U4237+2*'Read Me'!$B$13)*(1+'Read Me'!$B$12),-1)</f>
        <v/>
      </c>
      <c r="W4237" s="15">
        <f>V4237*N4237*O4237</f>
        <v/>
      </c>
      <c r="X4237" s="12">
        <f>IF(LEFT(I4237,2)="MV",2*N4237*IF(L4237="1/C",O4237,1),0)</f>
        <v/>
      </c>
      <c r="Y4237" s="12">
        <f>IF(OR(LEFT(K4237,4)="LVAX",LEFT(K4237,6)="MV15AX",LEFT(K4237,4)="CTAX",LEFT(K4237,2)="W|"),2*N4237*O4237,0)</f>
        <v/>
      </c>
      <c r="Z4237" s="12" t="inlineStr">
        <is>
          <t>allowance: 1.6 ft of conductor per ft2 of floor</t>
        </is>
      </c>
      <c r="AA4237" s="12">
        <f>N4237*O4237</f>
        <v/>
      </c>
    </row>
    <row r="4238">
      <c r="A4238" s="12" t="inlineStr">
        <is>
          <t>I-L-0003</t>
        </is>
      </c>
      <c r="B4238" s="12" t="inlineStr">
        <is>
          <t>I</t>
        </is>
      </c>
      <c r="C4238" s="12" t="inlineStr">
        <is>
          <t>Modular / portable power</t>
        </is>
      </c>
      <c r="D4238" s="12" t="inlineStr">
        <is>
          <t>Lighting, receptacles and small power branch circuits (allowance)</t>
        </is>
      </c>
      <c r="E4238" s="12" t="inlineStr">
        <is>
          <t>MTG-CB</t>
        </is>
      </c>
      <c r="F4238" s="12" t="inlineStr">
        <is>
          <t>MTG-CB: control and MCC building (unit controls, 480 V MCC)</t>
        </is>
      </c>
      <c r="G4238" s="12" t="inlineStr">
        <is>
          <t>MTG-CB</t>
        </is>
      </c>
      <c r="H4238" s="12" t="inlineStr">
        <is>
          <t>MTG-CB: control and MCC building (unit controls, 480 V MCC)</t>
        </is>
      </c>
      <c r="I4238" s="12" t="inlineStr">
        <is>
          <t>Building wire</t>
        </is>
      </c>
      <c r="J4238" s="12" t="inlineStr">
        <is>
          <t>SIMpull THHN/THWN-2 600 V 1/C Cu (lighting, receptacles, small power)</t>
        </is>
      </c>
      <c r="K4238" s="12" t="inlineStr">
        <is>
          <t>THHN|1/C|12</t>
        </is>
      </c>
      <c r="L4238" s="12" t="inlineStr">
        <is>
          <t>1/C</t>
        </is>
      </c>
      <c r="M4238" s="12" t="inlineStr">
        <is>
          <t>12</t>
        </is>
      </c>
      <c r="N4238" s="12" t="n">
        <v>1</v>
      </c>
      <c r="O4238" s="12" t="n">
        <v>1</v>
      </c>
      <c r="P4238" s="12" t="n">
        <v>277</v>
      </c>
      <c r="Q4238" s="12" t="n"/>
      <c r="R4238" s="12" t="n"/>
      <c r="S4238" s="12" t="inlineStr">
        <is>
          <t>Conduit</t>
        </is>
      </c>
      <c r="T4238" s="15" t="n">
        <v>627</v>
      </c>
      <c r="U4238" s="15" t="n">
        <v>0</v>
      </c>
      <c r="V4238" s="15">
        <f>ROUNDUP((T4238+U4238+2*'Read Me'!$B$13)*(1+'Read Me'!$B$12),-1)</f>
        <v/>
      </c>
      <c r="W4238" s="15">
        <f>V4238*N4238*O4238</f>
        <v/>
      </c>
      <c r="X4238" s="12">
        <f>IF(LEFT(I4238,2)="MV",2*N4238*IF(L4238="1/C",O4238,1),0)</f>
        <v/>
      </c>
      <c r="Y4238" s="12">
        <f>IF(OR(LEFT(K4238,4)="LVAX",LEFT(K4238,6)="MV15AX",LEFT(K4238,4)="CTAX",LEFT(K4238,2)="W|"),2*N4238*O4238,0)</f>
        <v/>
      </c>
      <c r="Z4238" s="12" t="inlineStr">
        <is>
          <t>allowance: 1.6 ft of conductor per ft2 of floor</t>
        </is>
      </c>
      <c r="AA4238" s="12">
        <f>N4238*O4238</f>
        <v/>
      </c>
    </row>
    <row r="4239">
      <c r="A4239" s="12" t="inlineStr">
        <is>
          <t>I-L-0004</t>
        </is>
      </c>
      <c r="B4239" s="12" t="inlineStr">
        <is>
          <t>I</t>
        </is>
      </c>
      <c r="C4239" s="12" t="inlineStr">
        <is>
          <t>Modular / portable power</t>
        </is>
      </c>
      <c r="D4239" s="12" t="inlineStr">
        <is>
          <t>Lighting, receptacles and small power branch circuits (allowance)</t>
        </is>
      </c>
      <c r="E4239" s="12" t="inlineStr">
        <is>
          <t>MTG-SWG</t>
        </is>
      </c>
      <c r="F4239" s="12" t="inlineStr">
        <is>
          <t>MTG-SWG: 13.8 kV switchgear e-house (2 generator breakers, site feeder</t>
        </is>
      </c>
      <c r="G4239" s="12" t="inlineStr">
        <is>
          <t>MTG-SWG</t>
        </is>
      </c>
      <c r="H4239" s="12" t="inlineStr">
        <is>
          <t>MTG-SWG: 13.8 kV switchgear e-house (2 generator breakers, site feeder</t>
        </is>
      </c>
      <c r="I4239" s="12" t="inlineStr">
        <is>
          <t>Building wire</t>
        </is>
      </c>
      <c r="J4239" s="12" t="inlineStr">
        <is>
          <t>SIMpull THHN/THWN-2 600 V 1/C Cu (lighting, receptacles, small power)</t>
        </is>
      </c>
      <c r="K4239" s="12" t="inlineStr">
        <is>
          <t>THHN|1/C|12</t>
        </is>
      </c>
      <c r="L4239" s="12" t="inlineStr">
        <is>
          <t>1/C</t>
        </is>
      </c>
      <c r="M4239" s="12" t="inlineStr">
        <is>
          <t>12</t>
        </is>
      </c>
      <c r="N4239" s="12" t="n">
        <v>1</v>
      </c>
      <c r="O4239" s="12" t="n">
        <v>1</v>
      </c>
      <c r="P4239" s="12" t="n">
        <v>277</v>
      </c>
      <c r="Q4239" s="12" t="n"/>
      <c r="R4239" s="12" t="n"/>
      <c r="S4239" s="12" t="inlineStr">
        <is>
          <t>Conduit</t>
        </is>
      </c>
      <c r="T4239" s="15" t="n">
        <v>576</v>
      </c>
      <c r="U4239" s="15" t="n">
        <v>0</v>
      </c>
      <c r="V4239" s="15">
        <f>ROUNDUP((T4239+U4239+2*'Read Me'!$B$13)*(1+'Read Me'!$B$12),-1)</f>
        <v/>
      </c>
      <c r="W4239" s="15">
        <f>V4239*N4239*O4239</f>
        <v/>
      </c>
      <c r="X4239" s="12">
        <f>IF(LEFT(I4239,2)="MV",2*N4239*IF(L4239="1/C",O4239,1),0)</f>
        <v/>
      </c>
      <c r="Y4239" s="12">
        <f>IF(OR(LEFT(K4239,4)="LVAX",LEFT(K4239,6)="MV15AX",LEFT(K4239,4)="CTAX",LEFT(K4239,2)="W|"),2*N4239*O4239,0)</f>
        <v/>
      </c>
      <c r="Z4239" s="12" t="inlineStr">
        <is>
          <t>allowance: 1.6 ft of conductor per ft2 of floor</t>
        </is>
      </c>
      <c r="AA4239" s="12">
        <f>N4239*O4239</f>
        <v/>
      </c>
    </row>
    <row r="4240">
      <c r="A4240" s="12" t="inlineStr">
        <is>
          <t>I-L-0005</t>
        </is>
      </c>
      <c r="B4240" s="12" t="inlineStr">
        <is>
          <t>I</t>
        </is>
      </c>
      <c r="C4240" s="12" t="inlineStr">
        <is>
          <t>Modular / portable power</t>
        </is>
      </c>
      <c r="D4240" s="12" t="inlineStr">
        <is>
          <t>Lighting, receptacles and small power branch circuits (allowance)</t>
        </is>
      </c>
      <c r="E4240" s="12" t="inlineStr"/>
      <c r="F4240" s="12" t="inlineStr">
        <is>
          <t>PCM: power control module</t>
        </is>
      </c>
      <c r="G4240" s="12" t="inlineStr"/>
      <c r="H4240" s="12" t="inlineStr">
        <is>
          <t>PCM: power control module</t>
        </is>
      </c>
      <c r="I4240" s="12" t="inlineStr">
        <is>
          <t>Building wire</t>
        </is>
      </c>
      <c r="J4240" s="12" t="inlineStr">
        <is>
          <t>SIMpull THHN/THWN-2 600 V 1/C Cu (lighting, receptacles, small power)</t>
        </is>
      </c>
      <c r="K4240" s="12" t="inlineStr">
        <is>
          <t>THHN|1/C|12</t>
        </is>
      </c>
      <c r="L4240" s="12" t="inlineStr">
        <is>
          <t>1/C</t>
        </is>
      </c>
      <c r="M4240" s="12" t="inlineStr">
        <is>
          <t>12</t>
        </is>
      </c>
      <c r="N4240" s="12" t="n">
        <v>1</v>
      </c>
      <c r="O4240" s="12" t="n">
        <v>1</v>
      </c>
      <c r="P4240" s="12" t="n">
        <v>277</v>
      </c>
      <c r="Q4240" s="12" t="n"/>
      <c r="R4240" s="12" t="n"/>
      <c r="S4240" s="12" t="inlineStr">
        <is>
          <t>Conduit</t>
        </is>
      </c>
      <c r="T4240" s="15" t="n">
        <v>5120</v>
      </c>
      <c r="U4240" s="15" t="n">
        <v>0</v>
      </c>
      <c r="V4240" s="15">
        <f>ROUNDUP((T4240+U4240+2*'Read Me'!$B$13)*(1+'Read Me'!$B$12),-1)</f>
        <v/>
      </c>
      <c r="W4240" s="15">
        <f>V4240*N4240*O4240</f>
        <v/>
      </c>
      <c r="X4240" s="12">
        <f>IF(LEFT(I4240,2)="MV",2*N4240*IF(L4240="1/C",O4240,1),0)</f>
        <v/>
      </c>
      <c r="Y4240" s="12">
        <f>IF(OR(LEFT(K4240,4)="LVAX",LEFT(K4240,6)="MV15AX",LEFT(K4240,4)="CTAX",LEFT(K4240,2)="W|"),2*N4240*O4240,0)</f>
        <v/>
      </c>
      <c r="Z4240" s="12" t="inlineStr">
        <is>
          <t>allowance: 1.6 ft of conductor per ft2 of floor</t>
        </is>
      </c>
      <c r="AA4240" s="12">
        <f>N4240*O4240</f>
        <v/>
      </c>
    </row>
    <row r="4241">
      <c r="A4241" s="12" t="inlineStr">
        <is>
          <t>I-L-0006</t>
        </is>
      </c>
      <c r="B4241" s="12" t="inlineStr">
        <is>
          <t>I</t>
        </is>
      </c>
      <c r="C4241" s="12" t="inlineStr">
        <is>
          <t>Modular / portable power</t>
        </is>
      </c>
      <c r="D4241" s="12" t="inlineStr">
        <is>
          <t>Lighting, receptacles and small power branch circuits (allowance)</t>
        </is>
      </c>
      <c r="E4241" s="12" t="inlineStr"/>
      <c r="F4241" s="12" t="inlineStr">
        <is>
          <t>RICE CEMS</t>
        </is>
      </c>
      <c r="G4241" s="12" t="inlineStr"/>
      <c r="H4241" s="12" t="inlineStr">
        <is>
          <t>RICE CEMS</t>
        </is>
      </c>
      <c r="I4241" s="12" t="inlineStr">
        <is>
          <t>Building wire</t>
        </is>
      </c>
      <c r="J4241" s="12" t="inlineStr">
        <is>
          <t>SIMpull THHN/THWN-2 600 V 1/C Cu (lighting, receptacles, small power)</t>
        </is>
      </c>
      <c r="K4241" s="12" t="inlineStr">
        <is>
          <t>THHN|1/C|12</t>
        </is>
      </c>
      <c r="L4241" s="12" t="inlineStr">
        <is>
          <t>1/C</t>
        </is>
      </c>
      <c r="M4241" s="12" t="inlineStr">
        <is>
          <t>12</t>
        </is>
      </c>
      <c r="N4241" s="12" t="n">
        <v>1</v>
      </c>
      <c r="O4241" s="12" t="n">
        <v>1</v>
      </c>
      <c r="P4241" s="12" t="n">
        <v>277</v>
      </c>
      <c r="Q4241" s="12" t="n"/>
      <c r="R4241" s="12" t="n"/>
      <c r="S4241" s="12" t="inlineStr">
        <is>
          <t>Conduit</t>
        </is>
      </c>
      <c r="T4241" s="15" t="n">
        <v>256</v>
      </c>
      <c r="U4241" s="15" t="n">
        <v>0</v>
      </c>
      <c r="V4241" s="15">
        <f>ROUNDUP((T4241+U4241+2*'Read Me'!$B$13)*(1+'Read Me'!$B$12),-1)</f>
        <v/>
      </c>
      <c r="W4241" s="15">
        <f>V4241*N4241*O4241</f>
        <v/>
      </c>
      <c r="X4241" s="12">
        <f>IF(LEFT(I4241,2)="MV",2*N4241*IF(L4241="1/C",O4241,1),0)</f>
        <v/>
      </c>
      <c r="Y4241" s="12">
        <f>IF(OR(LEFT(K4241,4)="LVAX",LEFT(K4241,6)="MV15AX",LEFT(K4241,4)="CTAX",LEFT(K4241,2)="W|"),2*N4241*O4241,0)</f>
        <v/>
      </c>
      <c r="Z4241" s="12" t="inlineStr">
        <is>
          <t>allowance: 1.6 ft of conductor per ft2 of floor</t>
        </is>
      </c>
      <c r="AA4241" s="12">
        <f>N4241*O4241</f>
        <v/>
      </c>
    </row>
    <row r="4242">
      <c r="A4242" s="12" t="inlineStr">
        <is>
          <t>I-C-0001</t>
        </is>
      </c>
      <c r="B4242" s="12" t="inlineStr">
        <is>
          <t>I</t>
        </is>
      </c>
      <c r="C4242" s="12" t="inlineStr">
        <is>
          <t>Modular / portable power</t>
        </is>
      </c>
      <c r="D4242" s="12" t="inlineStr">
        <is>
          <t>AX-1 unit control / sync / protection</t>
        </is>
      </c>
      <c r="E4242" s="12" t="inlineStr">
        <is>
          <t>SWG-PK</t>
        </is>
      </c>
      <c r="F4242" s="12" t="inlineStr">
        <is>
          <t>SWG-PK: 34.5 kV park collector switchgear (2 bus sections, tie; 8 feed</t>
        </is>
      </c>
      <c r="G4242" s="12" t="inlineStr">
        <is>
          <t>AX-1</t>
        </is>
      </c>
      <c r="H4242" s="12" t="inlineStr">
        <is>
          <t>AX-1: compact modular aeroderivative installation, ~35 MW class (~35 M</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274</v>
      </c>
      <c r="U4242" s="15" t="n">
        <v>40</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I-C-0002</t>
        </is>
      </c>
      <c r="B4243" s="12" t="inlineStr">
        <is>
          <t>I</t>
        </is>
      </c>
      <c r="C4243" s="12" t="inlineStr">
        <is>
          <t>Modular / portable power</t>
        </is>
      </c>
      <c r="D4243" s="12" t="inlineStr">
        <is>
          <t>AX-GSU protection / trip / cooling control</t>
        </is>
      </c>
      <c r="E4243" s="12" t="inlineStr">
        <is>
          <t>AX-1</t>
        </is>
      </c>
      <c r="F4243" s="12" t="inlineStr">
        <is>
          <t>AX-1: compact modular aeroderivative installation, ~35 MW class (~35 M</t>
        </is>
      </c>
      <c r="G4243" s="12" t="inlineStr">
        <is>
          <t>AX-GSU</t>
        </is>
      </c>
      <c r="H4243" s="12" t="inlineStr">
        <is>
          <t>AX-GSU: 13.8 / 34.5 kV step-up, ~45 MVA (AX-1 unit step-up)</t>
        </is>
      </c>
      <c r="I4243" s="12" t="inlineStr">
        <is>
          <t>Control</t>
        </is>
      </c>
      <c r="J4243" s="12" t="inlineStr">
        <is>
          <t>Control cable 600 V Type TC-ER, Cu #14 AWG, PVC jacket</t>
        </is>
      </c>
      <c r="K4243" s="12" t="inlineStr">
        <is>
          <t>CT|12/C|14</t>
        </is>
      </c>
      <c r="L4243" s="12" t="inlineStr">
        <is>
          <t>12/C</t>
        </is>
      </c>
      <c r="M4243" s="12" t="inlineStr">
        <is>
          <t>14</t>
        </is>
      </c>
      <c r="N4243" s="12" t="n">
        <v>1</v>
      </c>
      <c r="O4243" s="12" t="n">
        <v>1</v>
      </c>
      <c r="P4243" s="12" t="n"/>
      <c r="Q4243" s="12" t="n"/>
      <c r="R4243" s="12" t="n"/>
      <c r="S4243" s="12" t="inlineStr">
        <is>
          <t>Duct bank</t>
        </is>
      </c>
      <c r="T4243" s="15" t="n">
        <v>28</v>
      </c>
      <c r="U4243" s="15" t="n">
        <v>32</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I-C-0003</t>
        </is>
      </c>
      <c r="B4244" s="12" t="inlineStr">
        <is>
          <t>I</t>
        </is>
      </c>
      <c r="C4244" s="12" t="inlineStr">
        <is>
          <t>Modular / portable power</t>
        </is>
      </c>
      <c r="D4244" s="12" t="inlineStr">
        <is>
          <t>Motor 1 of 2: control / local station</t>
        </is>
      </c>
      <c r="E4244" s="12" t="inlineStr"/>
      <c r="F4244" s="12" t="inlineStr">
        <is>
          <t>SC-2 PCM + 15 kV GCB</t>
        </is>
      </c>
      <c r="G4244" s="12" t="inlineStr"/>
      <c r="H4244" s="12" t="inlineStr">
        <is>
          <t>Aqueous ammonia (SC units)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5" t="n">
        <v>0</v>
      </c>
      <c r="U4244" s="15" t="n">
        <v>98</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I-C-0004</t>
        </is>
      </c>
      <c r="B4245" s="12" t="inlineStr">
        <is>
          <t>I</t>
        </is>
      </c>
      <c r="C4245" s="12" t="inlineStr">
        <is>
          <t>Modular / portable power</t>
        </is>
      </c>
      <c r="D4245" s="12" t="inlineStr">
        <is>
          <t>Motor 2 of 2: control / local station</t>
        </is>
      </c>
      <c r="E4245" s="12" t="inlineStr"/>
      <c r="F4245" s="12" t="inlineStr">
        <is>
          <t>SC-2 PCM + 15 kV GCB</t>
        </is>
      </c>
      <c r="G4245" s="12" t="inlineStr"/>
      <c r="H4245" s="12" t="inlineStr">
        <is>
          <t>Aqueous ammonia (SC units)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5" t="n">
        <v>0</v>
      </c>
      <c r="U4245" s="15" t="n">
        <v>98</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I-C-0005</t>
        </is>
      </c>
      <c r="B4246" s="12" t="inlineStr">
        <is>
          <t>I</t>
        </is>
      </c>
      <c r="C4246" s="12" t="inlineStr">
        <is>
          <t>Modular / portable power</t>
        </is>
      </c>
      <c r="D4246" s="12" t="inlineStr">
        <is>
          <t>Control</t>
        </is>
      </c>
      <c r="E4246" s="12" t="inlineStr"/>
      <c r="F4246" s="12" t="inlineStr">
        <is>
          <t>PCM: power control module</t>
        </is>
      </c>
      <c r="G4246" s="12" t="inlineStr"/>
      <c r="H4246" s="12" t="inlineStr">
        <is>
          <t>BS black-start switchgear</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5" t="n">
        <v>528</v>
      </c>
      <c r="U4246" s="15" t="n">
        <v>64</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I-C-0006</t>
        </is>
      </c>
      <c r="B4247" s="12" t="inlineStr">
        <is>
          <t>I</t>
        </is>
      </c>
      <c r="C4247" s="12" t="inlineStr">
        <is>
          <t>Modular / portable power</t>
        </is>
      </c>
      <c r="D4247" s="12" t="inlineStr">
        <is>
          <t>CGE-1 control / sync / protection</t>
        </is>
      </c>
      <c r="E4247" s="12" t="inlineStr">
        <is>
          <t>CGE-SWG</t>
        </is>
      </c>
      <c r="F4247" s="12" t="inlineStr">
        <is>
          <t>CGE-SWG: 13.8 kV switchgear container (engine breakers, site feeder)</t>
        </is>
      </c>
      <c r="G4247" s="12" t="inlineStr">
        <is>
          <t>CGE-1</t>
        </is>
      </c>
      <c r="H4247" s="12" t="inlineStr">
        <is>
          <t>CGE-1: containerized gas-engine generator ~4.4 MW, 13.8 kV (40 ft engi</t>
        </is>
      </c>
      <c r="I4247" s="12" t="inlineStr">
        <is>
          <t>Control</t>
        </is>
      </c>
      <c r="J4247" s="12" t="inlineStr">
        <is>
          <t>ARMOR-X MC-HL 600 V control, Cu #14 AWG (Class I Div 2)</t>
        </is>
      </c>
      <c r="K4247" s="12" t="inlineStr">
        <is>
          <t>CTAX|12/C|14</t>
        </is>
      </c>
      <c r="L4247" s="12" t="inlineStr">
        <is>
          <t>12/C</t>
        </is>
      </c>
      <c r="M4247" s="12" t="inlineStr">
        <is>
          <t>14</t>
        </is>
      </c>
      <c r="N4247" s="12" t="n">
        <v>1</v>
      </c>
      <c r="O4247" s="12" t="n">
        <v>1</v>
      </c>
      <c r="P4247" s="12" t="n"/>
      <c r="Q4247" s="12" t="n"/>
      <c r="R4247" s="12" t="n"/>
      <c r="S4247" s="12" t="inlineStr">
        <is>
          <t>Duct bank</t>
        </is>
      </c>
      <c r="T4247" s="15" t="n">
        <v>65</v>
      </c>
      <c r="U4247" s="15" t="n">
        <v>46</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I-C-0007</t>
        </is>
      </c>
      <c r="B4248" s="12" t="inlineStr">
        <is>
          <t>I</t>
        </is>
      </c>
      <c r="C4248" s="12" t="inlineStr">
        <is>
          <t>Modular / portable power</t>
        </is>
      </c>
      <c r="D4248" s="12" t="inlineStr">
        <is>
          <t>CGE-2 control / sync / protection</t>
        </is>
      </c>
      <c r="E4248" s="12" t="inlineStr">
        <is>
          <t>CGE-SWG</t>
        </is>
      </c>
      <c r="F4248" s="12" t="inlineStr">
        <is>
          <t>CGE-SWG: 13.8 kV switchgear container (engine breakers, site feeder)</t>
        </is>
      </c>
      <c r="G4248" s="12" t="inlineStr">
        <is>
          <t>CGE-2</t>
        </is>
      </c>
      <c r="H4248" s="12" t="inlineStr">
        <is>
          <t>CGE-2: containerized gas-engine generator ~4.4 MW, 13.8 kV (40 ft engi</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Duct bank</t>
        </is>
      </c>
      <c r="T4248" s="15" t="n">
        <v>47</v>
      </c>
      <c r="U4248" s="15" t="n">
        <v>46</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I-C-0008</t>
        </is>
      </c>
      <c r="B4249" s="12" t="inlineStr">
        <is>
          <t>I</t>
        </is>
      </c>
      <c r="C4249" s="12" t="inlineStr">
        <is>
          <t>Modular / portable power</t>
        </is>
      </c>
      <c r="D4249" s="12" t="inlineStr">
        <is>
          <t>CGE-3 control / sync / protection</t>
        </is>
      </c>
      <c r="E4249" s="12" t="inlineStr">
        <is>
          <t>CGE-SWG</t>
        </is>
      </c>
      <c r="F4249" s="12" t="inlineStr">
        <is>
          <t>CGE-SWG: 13.8 kV switchgear container (engine breakers, site feeder)</t>
        </is>
      </c>
      <c r="G4249" s="12" t="inlineStr">
        <is>
          <t>CGE-3</t>
        </is>
      </c>
      <c r="H4249" s="12" t="inlineStr">
        <is>
          <t>CGE-3: containerized gas-engine generator ~4.4 MW, 13.8 kV (40 ft engi</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Duct bank</t>
        </is>
      </c>
      <c r="T4249" s="15" t="n">
        <v>29</v>
      </c>
      <c r="U4249" s="15" t="n">
        <v>46</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I-C-0009</t>
        </is>
      </c>
      <c r="B4250" s="12" t="inlineStr">
        <is>
          <t>I</t>
        </is>
      </c>
      <c r="C4250" s="12" t="inlineStr">
        <is>
          <t>Modular / portable power</t>
        </is>
      </c>
      <c r="D4250" s="12" t="inlineStr">
        <is>
          <t>CGE-4 control / sync / protection</t>
        </is>
      </c>
      <c r="E4250" s="12" t="inlineStr">
        <is>
          <t>CGE-SWG</t>
        </is>
      </c>
      <c r="F4250" s="12" t="inlineStr">
        <is>
          <t>CGE-SWG: 13.8 kV switchgear container (engine breakers, site feeder)</t>
        </is>
      </c>
      <c r="G4250" s="12" t="inlineStr">
        <is>
          <t>CGE-4</t>
        </is>
      </c>
      <c r="H4250" s="12" t="inlineStr">
        <is>
          <t>CGE-4: containerized gas-engine generator ~4.4 MW, 13.8 kV (40 ft engi</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Duct bank</t>
        </is>
      </c>
      <c r="T4250" s="15" t="n">
        <v>29</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I-C-0010</t>
        </is>
      </c>
      <c r="B4251" s="12" t="inlineStr">
        <is>
          <t>I</t>
        </is>
      </c>
      <c r="C4251" s="12" t="inlineStr">
        <is>
          <t>Modular / portable power</t>
        </is>
      </c>
      <c r="D4251" s="12" t="inlineStr">
        <is>
          <t>CGE-AUX protection / trip / cooling control</t>
        </is>
      </c>
      <c r="E4251" s="12" t="inlineStr">
        <is>
          <t>CGE-SWG</t>
        </is>
      </c>
      <c r="F4251" s="12" t="inlineStr">
        <is>
          <t>CGE-SWG: 13.8 kV switchgear container (engine breakers, site feeder)</t>
        </is>
      </c>
      <c r="G4251" s="12" t="inlineStr">
        <is>
          <t>CGE-AUX</t>
        </is>
      </c>
      <c r="H4251" s="12" t="inlineStr">
        <is>
          <t>CGE-AUX: 13.8 / 0.48 kV auxiliary transformer (cooling containers, rad</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Duct bank</t>
        </is>
      </c>
      <c r="T4251" s="15" t="n">
        <v>12</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I-C-0011</t>
        </is>
      </c>
      <c r="B4252" s="12" t="inlineStr">
        <is>
          <t>I</t>
        </is>
      </c>
      <c r="C4252" s="12" t="inlineStr">
        <is>
          <t>Modular / portable power</t>
        </is>
      </c>
      <c r="D4252" s="12" t="inlineStr">
        <is>
          <t>CGE-GSU protection / trip / cooling control</t>
        </is>
      </c>
      <c r="E4252" s="12" t="inlineStr">
        <is>
          <t>CGE-SWG</t>
        </is>
      </c>
      <c r="F4252" s="12" t="inlineStr">
        <is>
          <t>CGE-SWG: 13.8 kV switchgear container (engine breakers, site feeder)</t>
        </is>
      </c>
      <c r="G4252" s="12" t="inlineStr">
        <is>
          <t>CGE-GSU</t>
        </is>
      </c>
      <c r="H4252" s="12" t="inlineStr">
        <is>
          <t>CGE-GSU: 13.8 / 34.5 kV step-up, ~20 MVA (containerized engines)</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5" t="n">
        <v>10</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I-C-0012</t>
        </is>
      </c>
      <c r="B4253" s="12" t="inlineStr">
        <is>
          <t>I</t>
        </is>
      </c>
      <c r="C4253" s="12" t="inlineStr">
        <is>
          <t>Modular / portable power</t>
        </is>
      </c>
      <c r="D4253" s="12" t="inlineStr">
        <is>
          <t>CGE-1 generator CT / VT secondaries to the protection</t>
        </is>
      </c>
      <c r="E4253" s="12" t="inlineStr">
        <is>
          <t>CGE-1</t>
        </is>
      </c>
      <c r="F4253" s="12" t="inlineStr">
        <is>
          <t>CGE-1: containerized gas-engine generator ~4.4 MW, 13.8 kV (40 ft engi</t>
        </is>
      </c>
      <c r="G4253" s="12" t="inlineStr">
        <is>
          <t>CGE-SWG</t>
        </is>
      </c>
      <c r="H4253" s="12" t="inlineStr">
        <is>
          <t>CGE-SWG: 13.8 kV switchgear container (engine breakers, site feeder)</t>
        </is>
      </c>
      <c r="I4253" s="12" t="inlineStr">
        <is>
          <t>Control</t>
        </is>
      </c>
      <c r="J4253" s="12" t="inlineStr">
        <is>
          <t>Control cable 600 V Type TC-ER, Cu #10 AWG (CT / VT circuits)</t>
        </is>
      </c>
      <c r="K4253" s="12" t="inlineStr">
        <is>
          <t>CTCT|12/C|10</t>
        </is>
      </c>
      <c r="L4253" s="12" t="inlineStr">
        <is>
          <t>12/C</t>
        </is>
      </c>
      <c r="M4253" s="12" t="inlineStr">
        <is>
          <t>10</t>
        </is>
      </c>
      <c r="N4253" s="12" t="n">
        <v>1</v>
      </c>
      <c r="O4253" s="12" t="n">
        <v>1</v>
      </c>
      <c r="P4253" s="12" t="n"/>
      <c r="Q4253" s="12" t="n"/>
      <c r="R4253" s="12" t="n"/>
      <c r="S4253" s="12" t="inlineStr">
        <is>
          <t>Duct bank</t>
        </is>
      </c>
      <c r="T4253" s="15" t="n">
        <v>79</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I-C-0013</t>
        </is>
      </c>
      <c r="B4254" s="12" t="inlineStr">
        <is>
          <t>I</t>
        </is>
      </c>
      <c r="C4254" s="12" t="inlineStr">
        <is>
          <t>Modular / portable power</t>
        </is>
      </c>
      <c r="D4254" s="12" t="inlineStr">
        <is>
          <t>CGE-2 generator CT / VT secondaries to the protection</t>
        </is>
      </c>
      <c r="E4254" s="12" t="inlineStr">
        <is>
          <t>CGE-2</t>
        </is>
      </c>
      <c r="F4254" s="12" t="inlineStr">
        <is>
          <t>CGE-2: containerized gas-engine generator ~4.4 MW, 13.8 kV (40 ft engi</t>
        </is>
      </c>
      <c r="G4254" s="12" t="inlineStr">
        <is>
          <t>CGE-SWG</t>
        </is>
      </c>
      <c r="H4254" s="12" t="inlineStr">
        <is>
          <t>CGE-SWG: 13.8 kV switchgear container (engine breakers, site feeder)</t>
        </is>
      </c>
      <c r="I4254" s="12" t="inlineStr">
        <is>
          <t>Control</t>
        </is>
      </c>
      <c r="J4254" s="12" t="inlineStr">
        <is>
          <t>Control cable 600 V Type TC-ER, Cu #10 AWG (CT / VT circuits)</t>
        </is>
      </c>
      <c r="K4254" s="12" t="inlineStr">
        <is>
          <t>CTCT|12/C|10</t>
        </is>
      </c>
      <c r="L4254" s="12" t="inlineStr">
        <is>
          <t>12/C</t>
        </is>
      </c>
      <c r="M4254" s="12" t="inlineStr">
        <is>
          <t>10</t>
        </is>
      </c>
      <c r="N4254" s="12" t="n">
        <v>1</v>
      </c>
      <c r="O4254" s="12" t="n">
        <v>1</v>
      </c>
      <c r="P4254" s="12" t="n"/>
      <c r="Q4254" s="12" t="n"/>
      <c r="R4254" s="12" t="n"/>
      <c r="S4254" s="12" t="inlineStr">
        <is>
          <t>Duct bank</t>
        </is>
      </c>
      <c r="T4254" s="15" t="n">
        <v>61</v>
      </c>
      <c r="U4254" s="15" t="n">
        <v>32</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I-C-0014</t>
        </is>
      </c>
      <c r="B4255" s="12" t="inlineStr">
        <is>
          <t>I</t>
        </is>
      </c>
      <c r="C4255" s="12" t="inlineStr">
        <is>
          <t>Modular / portable power</t>
        </is>
      </c>
      <c r="D4255" s="12" t="inlineStr">
        <is>
          <t>CGE-3 generator CT / VT secondaries to the protection</t>
        </is>
      </c>
      <c r="E4255" s="12" t="inlineStr">
        <is>
          <t>CGE-3</t>
        </is>
      </c>
      <c r="F4255" s="12" t="inlineStr">
        <is>
          <t>CGE-3: containerized gas-engine generator ~4.4 MW, 13.8 kV (40 ft engi</t>
        </is>
      </c>
      <c r="G4255" s="12" t="inlineStr">
        <is>
          <t>CGE-SWG</t>
        </is>
      </c>
      <c r="H4255" s="12" t="inlineStr">
        <is>
          <t>CGE-SWG: 13.8 kV switchgear container (engine breakers, site feeder)</t>
        </is>
      </c>
      <c r="I4255" s="12" t="inlineStr">
        <is>
          <t>Control</t>
        </is>
      </c>
      <c r="J4255" s="12" t="inlineStr">
        <is>
          <t>Control cable 600 V Type TC-ER, Cu #10 AWG (CT / VT circuits)</t>
        </is>
      </c>
      <c r="K4255" s="12" t="inlineStr">
        <is>
          <t>CTCT|12/C|10</t>
        </is>
      </c>
      <c r="L4255" s="12" t="inlineStr">
        <is>
          <t>12/C</t>
        </is>
      </c>
      <c r="M4255" s="12" t="inlineStr">
        <is>
          <t>10</t>
        </is>
      </c>
      <c r="N4255" s="12" t="n">
        <v>1</v>
      </c>
      <c r="O4255" s="12" t="n">
        <v>1</v>
      </c>
      <c r="P4255" s="12" t="n"/>
      <c r="Q4255" s="12" t="n"/>
      <c r="R4255" s="12" t="n"/>
      <c r="S4255" s="12" t="inlineStr">
        <is>
          <t>Duct bank</t>
        </is>
      </c>
      <c r="T4255" s="15" t="n">
        <v>43</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I-C-0015</t>
        </is>
      </c>
      <c r="B4256" s="12" t="inlineStr">
        <is>
          <t>I</t>
        </is>
      </c>
      <c r="C4256" s="12" t="inlineStr">
        <is>
          <t>Modular / portable power</t>
        </is>
      </c>
      <c r="D4256" s="12" t="inlineStr">
        <is>
          <t>CGE-4 generator CT / VT secondaries to the protection</t>
        </is>
      </c>
      <c r="E4256" s="12" t="inlineStr">
        <is>
          <t>CGE-4</t>
        </is>
      </c>
      <c r="F4256" s="12" t="inlineStr">
        <is>
          <t>CGE-4: containerized gas-engine generator ~4.4 MW, 13.8 kV (40 ft engi</t>
        </is>
      </c>
      <c r="G4256" s="12" t="inlineStr">
        <is>
          <t>CGE-SWG</t>
        </is>
      </c>
      <c r="H4256" s="12" t="inlineStr">
        <is>
          <t>CGE-SWG: 13.8 kV switchgear container (engine breakers, site feeder)</t>
        </is>
      </c>
      <c r="I4256" s="12" t="inlineStr">
        <is>
          <t>Control</t>
        </is>
      </c>
      <c r="J4256" s="12" t="inlineStr">
        <is>
          <t>Control cable 600 V Type TC-ER, Cu #10 AWG (CT / VT circuits)</t>
        </is>
      </c>
      <c r="K4256" s="12" t="inlineStr">
        <is>
          <t>CTCT|12/C|10</t>
        </is>
      </c>
      <c r="L4256" s="12" t="inlineStr">
        <is>
          <t>12/C</t>
        </is>
      </c>
      <c r="M4256" s="12" t="inlineStr">
        <is>
          <t>10</t>
        </is>
      </c>
      <c r="N4256" s="12" t="n">
        <v>1</v>
      </c>
      <c r="O4256" s="12" t="n">
        <v>1</v>
      </c>
      <c r="P4256" s="12" t="n"/>
      <c r="Q4256" s="12" t="n"/>
      <c r="R4256" s="12" t="n"/>
      <c r="S4256" s="12" t="inlineStr">
        <is>
          <t>Duct bank</t>
        </is>
      </c>
      <c r="T4256" s="15" t="n">
        <v>29</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I-C-0016</t>
        </is>
      </c>
      <c r="B4257" s="12" t="inlineStr">
        <is>
          <t>I</t>
        </is>
      </c>
      <c r="C4257" s="12" t="inlineStr">
        <is>
          <t>Modular / portable power</t>
        </is>
      </c>
      <c r="D4257" s="12" t="inlineStr">
        <is>
          <t>CHP-1 control / sync / protection</t>
        </is>
      </c>
      <c r="E4257" s="12" t="inlineStr">
        <is>
          <t>CHP-SWG</t>
        </is>
      </c>
      <c r="F4257" s="12" t="inlineStr">
        <is>
          <t>CHP-SWG: 13.8 kV switchgear container (4 engine breakers, site feeder)</t>
        </is>
      </c>
      <c r="G4257" s="12" t="inlineStr">
        <is>
          <t>CHP-1</t>
        </is>
      </c>
      <c r="H4257" s="12" t="inlineStr">
        <is>
          <t>CHP-1: gas-engine generator ~2.5 MW with exhaust heat recovery, 13.8 k</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Duct bank</t>
        </is>
      </c>
      <c r="T4257" s="15" t="n">
        <v>58</v>
      </c>
      <c r="U4257" s="15" t="n">
        <v>46</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I-C-0017</t>
        </is>
      </c>
      <c r="B4258" s="12" t="inlineStr">
        <is>
          <t>I</t>
        </is>
      </c>
      <c r="C4258" s="12" t="inlineStr">
        <is>
          <t>Modular / portable power</t>
        </is>
      </c>
      <c r="D4258" s="12" t="inlineStr">
        <is>
          <t>CHP-2 control / sync / protection</t>
        </is>
      </c>
      <c r="E4258" s="12" t="inlineStr">
        <is>
          <t>CHP-SWG</t>
        </is>
      </c>
      <c r="F4258" s="12" t="inlineStr">
        <is>
          <t>CHP-SWG: 13.8 kV switchgear container (4 engine breakers, site feeder)</t>
        </is>
      </c>
      <c r="G4258" s="12" t="inlineStr">
        <is>
          <t>CHP-2</t>
        </is>
      </c>
      <c r="H4258" s="12" t="inlineStr">
        <is>
          <t>CHP-2: gas-engine generator ~2.5 MW with exhaust heat recovery, 13.8 k</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I-C-0018</t>
        </is>
      </c>
      <c r="B4259" s="12" t="inlineStr">
        <is>
          <t>I</t>
        </is>
      </c>
      <c r="C4259" s="12" t="inlineStr">
        <is>
          <t>Modular / portable power</t>
        </is>
      </c>
      <c r="D4259" s="12" t="inlineStr">
        <is>
          <t>CHP-3 control / sync / protection</t>
        </is>
      </c>
      <c r="E4259" s="12" t="inlineStr">
        <is>
          <t>CHP-SWG</t>
        </is>
      </c>
      <c r="F4259" s="12" t="inlineStr">
        <is>
          <t>CHP-SWG: 13.8 kV switchgear container (4 engine breakers, site feeder)</t>
        </is>
      </c>
      <c r="G4259" s="12" t="inlineStr">
        <is>
          <t>CHP-3</t>
        </is>
      </c>
      <c r="H4259" s="12" t="inlineStr">
        <is>
          <t>CHP-3: gas-engine generator ~2.5 MW with exhaust heat recovery, 13.8 k</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Duct bank</t>
        </is>
      </c>
      <c r="T4259" s="15" t="n">
        <v>33</v>
      </c>
      <c r="U4259" s="15" t="n">
        <v>33</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I-C-0019</t>
        </is>
      </c>
      <c r="B4260" s="12" t="inlineStr">
        <is>
          <t>I</t>
        </is>
      </c>
      <c r="C4260" s="12" t="inlineStr">
        <is>
          <t>Modular / portable power</t>
        </is>
      </c>
      <c r="D4260" s="12" t="inlineStr">
        <is>
          <t>CHP-4 control / sync / protection</t>
        </is>
      </c>
      <c r="E4260" s="12" t="inlineStr">
        <is>
          <t>CHP-SWG</t>
        </is>
      </c>
      <c r="F4260" s="12" t="inlineStr">
        <is>
          <t>CHP-SWG: 13.8 kV switchgear container (4 engine breakers, site feeder)</t>
        </is>
      </c>
      <c r="G4260" s="12" t="inlineStr">
        <is>
          <t>CHP-4</t>
        </is>
      </c>
      <c r="H4260" s="12" t="inlineStr">
        <is>
          <t>CHP-4: gas-engine generator ~2.5 MW with exhaust heat recovery, 13.8 k</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I-C-0020</t>
        </is>
      </c>
      <c r="B4261" s="12" t="inlineStr">
        <is>
          <t>I</t>
        </is>
      </c>
      <c r="C4261" s="12" t="inlineStr">
        <is>
          <t>Modular / portable power</t>
        </is>
      </c>
      <c r="D4261" s="12" t="inlineStr">
        <is>
          <t>CHP-AUX protection / trip / cooling control</t>
        </is>
      </c>
      <c r="E4261" s="12" t="inlineStr">
        <is>
          <t>CHP-SWG</t>
        </is>
      </c>
      <c r="F4261" s="12" t="inlineStr">
        <is>
          <t>CHP-SWG: 13.8 kV switchgear container (4 engine breakers, site feeder)</t>
        </is>
      </c>
      <c r="G4261" s="12" t="inlineStr">
        <is>
          <t>CHP-AUX</t>
        </is>
      </c>
      <c r="H4261" s="12" t="inlineStr">
        <is>
          <t>CHP-AUX: 13.8 / 0.48 kV, 750 kVA auxiliary pad-mount (engine auxiliari</t>
        </is>
      </c>
      <c r="I4261" s="12" t="inlineStr">
        <is>
          <t>Control</t>
        </is>
      </c>
      <c r="J4261" s="12" t="inlineStr">
        <is>
          <t>Control cable 600 V Type TC-ER, Cu #14 AWG, PVC jacket</t>
        </is>
      </c>
      <c r="K4261" s="12" t="inlineStr">
        <is>
          <t>CT|12/C|14</t>
        </is>
      </c>
      <c r="L4261" s="12" t="inlineStr">
        <is>
          <t>12/C</t>
        </is>
      </c>
      <c r="M4261" s="12" t="inlineStr">
        <is>
          <t>14</t>
        </is>
      </c>
      <c r="N4261" s="12" t="n">
        <v>1</v>
      </c>
      <c r="O4261" s="12" t="n">
        <v>1</v>
      </c>
      <c r="P4261" s="12" t="n"/>
      <c r="Q4261" s="12" t="n"/>
      <c r="R4261" s="12" t="n"/>
      <c r="S4261" s="12" t="inlineStr">
        <is>
          <t>Duct bank</t>
        </is>
      </c>
      <c r="T4261" s="15" t="n">
        <v>4</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I-C-0021</t>
        </is>
      </c>
      <c r="B4262" s="12" t="inlineStr">
        <is>
          <t>I</t>
        </is>
      </c>
      <c r="C4262" s="12" t="inlineStr">
        <is>
          <t>Modular / portable power</t>
        </is>
      </c>
      <c r="D4262" s="12" t="inlineStr">
        <is>
          <t>CHP-1 generator CT / VT secondaries to the protection</t>
        </is>
      </c>
      <c r="E4262" s="12" t="inlineStr">
        <is>
          <t>CHP-1</t>
        </is>
      </c>
      <c r="F4262" s="12" t="inlineStr">
        <is>
          <t>CHP-1: gas-engine generator ~2.5 MW with exhaust heat recovery, 13.8 k</t>
        </is>
      </c>
      <c r="G4262" s="12" t="inlineStr">
        <is>
          <t>CHP-SWG</t>
        </is>
      </c>
      <c r="H4262" s="12" t="inlineStr">
        <is>
          <t>CHP-SWG: 13.8 kV switchgear container (4 engine breakers, site feeder)</t>
        </is>
      </c>
      <c r="I4262" s="12" t="inlineStr">
        <is>
          <t>Control</t>
        </is>
      </c>
      <c r="J4262" s="12" t="inlineStr">
        <is>
          <t>Control cable 600 V Type TC-ER, Cu #10 AWG (CT / VT circuits)</t>
        </is>
      </c>
      <c r="K4262" s="12" t="inlineStr">
        <is>
          <t>CTCT|12/C|10</t>
        </is>
      </c>
      <c r="L4262" s="12" t="inlineStr">
        <is>
          <t>12/C</t>
        </is>
      </c>
      <c r="M4262" s="12" t="inlineStr">
        <is>
          <t>10</t>
        </is>
      </c>
      <c r="N4262" s="12" t="n">
        <v>1</v>
      </c>
      <c r="O4262" s="12" t="n">
        <v>1</v>
      </c>
      <c r="P4262" s="12" t="n"/>
      <c r="Q4262" s="12" t="n"/>
      <c r="R4262" s="12" t="n"/>
      <c r="S4262" s="12" t="inlineStr">
        <is>
          <t>Duct bank</t>
        </is>
      </c>
      <c r="T4262" s="15" t="n">
        <v>72</v>
      </c>
      <c r="U4262" s="15" t="n">
        <v>32</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I-C-0022</t>
        </is>
      </c>
      <c r="B4263" s="12" t="inlineStr">
        <is>
          <t>I</t>
        </is>
      </c>
      <c r="C4263" s="12" t="inlineStr">
        <is>
          <t>Modular / portable power</t>
        </is>
      </c>
      <c r="D4263" s="12" t="inlineStr">
        <is>
          <t>CHP-2 generator CT / VT secondaries to the protection</t>
        </is>
      </c>
      <c r="E4263" s="12" t="inlineStr">
        <is>
          <t>CHP-2</t>
        </is>
      </c>
      <c r="F4263" s="12" t="inlineStr">
        <is>
          <t>CHP-2: gas-engine generator ~2.5 MW with exhaust heat recovery, 13.8 k</t>
        </is>
      </c>
      <c r="G4263" s="12" t="inlineStr">
        <is>
          <t>CHP-SWG</t>
        </is>
      </c>
      <c r="H4263" s="12" t="inlineStr">
        <is>
          <t>CHP-SWG: 13.8 kV switchgear container (4 engine breakers, site feeder)</t>
        </is>
      </c>
      <c r="I4263" s="12" t="inlineStr">
        <is>
          <t>Control</t>
        </is>
      </c>
      <c r="J4263" s="12" t="inlineStr">
        <is>
          <t>Control cable 600 V Type TC-ER, Cu #10 AWG (CT / VT circuits)</t>
        </is>
      </c>
      <c r="K4263" s="12" t="inlineStr">
        <is>
          <t>CTCT|12/C|10</t>
        </is>
      </c>
      <c r="L4263" s="12" t="inlineStr">
        <is>
          <t>12/C</t>
        </is>
      </c>
      <c r="M4263" s="12" t="inlineStr">
        <is>
          <t>10</t>
        </is>
      </c>
      <c r="N4263" s="12" t="n">
        <v>1</v>
      </c>
      <c r="O4263" s="12" t="n">
        <v>1</v>
      </c>
      <c r="P4263" s="12" t="n"/>
      <c r="Q4263" s="12" t="n"/>
      <c r="R4263" s="12" t="n"/>
      <c r="S4263" s="12" t="inlineStr">
        <is>
          <t>Duct bank</t>
        </is>
      </c>
      <c r="T4263" s="15" t="n">
        <v>58</v>
      </c>
      <c r="U4263" s="15" t="n">
        <v>32</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I-C-0023</t>
        </is>
      </c>
      <c r="B4264" s="12" t="inlineStr">
        <is>
          <t>I</t>
        </is>
      </c>
      <c r="C4264" s="12" t="inlineStr">
        <is>
          <t>Modular / portable power</t>
        </is>
      </c>
      <c r="D4264" s="12" t="inlineStr">
        <is>
          <t>CHP-3 generator CT / VT secondaries to the protection</t>
        </is>
      </c>
      <c r="E4264" s="12" t="inlineStr">
        <is>
          <t>CHP-3</t>
        </is>
      </c>
      <c r="F4264" s="12" t="inlineStr">
        <is>
          <t>CHP-3: gas-engine generator ~2.5 MW with exhaust heat recovery, 13.8 k</t>
        </is>
      </c>
      <c r="G4264" s="12" t="inlineStr">
        <is>
          <t>CHP-SWG</t>
        </is>
      </c>
      <c r="H4264" s="12" t="inlineStr">
        <is>
          <t>CHP-SWG: 13.8 kV switchgear container (4 engine breakers, site feeder)</t>
        </is>
      </c>
      <c r="I4264" s="12" t="inlineStr">
        <is>
          <t>Control</t>
        </is>
      </c>
      <c r="J4264" s="12" t="inlineStr">
        <is>
          <t>Control cable 600 V Type TC-ER, Cu #10 AWG (CT / VT circuits)</t>
        </is>
      </c>
      <c r="K4264" s="12" t="inlineStr">
        <is>
          <t>CTCT|12/C|10</t>
        </is>
      </c>
      <c r="L4264" s="12" t="inlineStr">
        <is>
          <t>12/C</t>
        </is>
      </c>
      <c r="M4264" s="12" t="inlineStr">
        <is>
          <t>10</t>
        </is>
      </c>
      <c r="N4264" s="12" t="n">
        <v>1</v>
      </c>
      <c r="O4264" s="12" t="n">
        <v>1</v>
      </c>
      <c r="P4264" s="12" t="n"/>
      <c r="Q4264" s="12" t="n"/>
      <c r="R4264" s="12" t="n"/>
      <c r="S4264" s="12" t="inlineStr">
        <is>
          <t>Duct bank</t>
        </is>
      </c>
      <c r="T4264" s="15" t="n">
        <v>34</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I-C-0024</t>
        </is>
      </c>
      <c r="B4265" s="12" t="inlineStr">
        <is>
          <t>I</t>
        </is>
      </c>
      <c r="C4265" s="12" t="inlineStr">
        <is>
          <t>Modular / portable power</t>
        </is>
      </c>
      <c r="D4265" s="12" t="inlineStr">
        <is>
          <t>CHP-4 generator CT / VT secondaries to the protection</t>
        </is>
      </c>
      <c r="E4265" s="12" t="inlineStr">
        <is>
          <t>CHP-4</t>
        </is>
      </c>
      <c r="F4265" s="12" t="inlineStr">
        <is>
          <t>CHP-4: gas-engine generator ~2.5 MW with exhaust heat recovery, 13.8 k</t>
        </is>
      </c>
      <c r="G4265" s="12" t="inlineStr">
        <is>
          <t>CHP-SWG</t>
        </is>
      </c>
      <c r="H4265" s="12" t="inlineStr">
        <is>
          <t>CHP-SWG: 13.8 kV switchgear container (4 engine breakers, site feeder)</t>
        </is>
      </c>
      <c r="I4265" s="12" t="inlineStr">
        <is>
          <t>Control</t>
        </is>
      </c>
      <c r="J4265" s="12" t="inlineStr">
        <is>
          <t>Control cable 600 V Type TC-ER, Cu #10 AWG (CT / VT circuits)</t>
        </is>
      </c>
      <c r="K4265" s="12" t="inlineStr">
        <is>
          <t>CTCT|12/C|10</t>
        </is>
      </c>
      <c r="L4265" s="12" t="inlineStr">
        <is>
          <t>12/C</t>
        </is>
      </c>
      <c r="M4265" s="12" t="inlineStr">
        <is>
          <t>10</t>
        </is>
      </c>
      <c r="N4265" s="12" t="n">
        <v>1</v>
      </c>
      <c r="O4265" s="12" t="n">
        <v>1</v>
      </c>
      <c r="P4265" s="12" t="n"/>
      <c r="Q4265" s="12" t="n"/>
      <c r="R4265" s="12" t="n"/>
      <c r="S4265" s="12" t="inlineStr">
        <is>
          <t>Duct bank</t>
        </is>
      </c>
      <c r="T4265" s="15" t="n">
        <v>20</v>
      </c>
      <c r="U4265" s="15" t="n">
        <v>32</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I-C-0025</t>
        </is>
      </c>
      <c r="B4266" s="12" t="inlineStr">
        <is>
          <t>I</t>
        </is>
      </c>
      <c r="C4266" s="12" t="inlineStr">
        <is>
          <t>Modular / portable power</t>
        </is>
      </c>
      <c r="D4266" s="12" t="inlineStr">
        <is>
          <t>Control</t>
        </is>
      </c>
      <c r="E4266" s="12" t="inlineStr"/>
      <c r="F4266" s="12" t="inlineStr">
        <is>
          <t>PCM: power control module</t>
        </is>
      </c>
      <c r="G4266" s="12" t="inlineStr"/>
      <c r="H4266" s="12" t="inlineStr">
        <is>
          <t>CONDITIONAL: BESS black-start alternative</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5" t="n">
        <v>516</v>
      </c>
      <c r="U4266" s="15" t="n">
        <v>32</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I-C-0026</t>
        </is>
      </c>
      <c r="B4267" s="12" t="inlineStr">
        <is>
          <t>I</t>
        </is>
      </c>
      <c r="C4267" s="12" t="inlineStr">
        <is>
          <t>Modular / portable power</t>
        </is>
      </c>
      <c r="D4267" s="12" t="inlineStr">
        <is>
          <t>Control</t>
        </is>
      </c>
      <c r="E4267" s="12" t="inlineStr"/>
      <c r="F4267" s="12" t="inlineStr">
        <is>
          <t>SC-1 PCM + 15 kV GCB</t>
        </is>
      </c>
      <c r="G4267" s="12" t="inlineStr"/>
      <c r="H4267" s="12" t="inlineStr">
        <is>
          <t>CONDITIONAL: SC-1 inlet chiller / evaporative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5" t="n">
        <v>270</v>
      </c>
      <c r="U4267" s="15" t="n">
        <v>78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I-C-0027</t>
        </is>
      </c>
      <c r="B4268" s="12" t="inlineStr">
        <is>
          <t>I</t>
        </is>
      </c>
      <c r="C4268" s="12" t="inlineStr">
        <is>
          <t>Modular / portable power</t>
        </is>
      </c>
      <c r="D4268" s="12" t="inlineStr">
        <is>
          <t>Control</t>
        </is>
      </c>
      <c r="E4268" s="12" t="inlineStr"/>
      <c r="F4268" s="12" t="inlineStr">
        <is>
          <t>SC-2 PCM + 15 kV GCB</t>
        </is>
      </c>
      <c r="G4268" s="12" t="inlineStr"/>
      <c r="H4268" s="12" t="inlineStr">
        <is>
          <t>CONDITIONAL: SC-2 inlet chiller / evaporative cooler</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5" t="n">
        <v>10</v>
      </c>
      <c r="U4268" s="15" t="n">
        <v>106</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I-C-0028</t>
        </is>
      </c>
      <c r="B4269" s="12" t="inlineStr">
        <is>
          <t>I</t>
        </is>
      </c>
      <c r="C4269" s="12" t="inlineStr">
        <is>
          <t>Modular / portable power</t>
        </is>
      </c>
      <c r="D4269" s="12" t="inlineStr">
        <is>
          <t>Control</t>
        </is>
      </c>
      <c r="E4269" s="12" t="inlineStr">
        <is>
          <t>PAD-EH</t>
        </is>
      </c>
      <c r="F4269" s="12" t="inlineStr">
        <is>
          <t>PAD-EH 13.8 kV switchgear e-house</t>
        </is>
      </c>
      <c r="G4269" s="12" t="inlineStr"/>
      <c r="H4269" s="12" t="inlineStr">
        <is>
          <t>FC-5..8 inverter / AC cabinet / desulfurizer</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Surface</t>
        </is>
      </c>
      <c r="T4269" s="15" t="n">
        <v>198</v>
      </c>
      <c r="U4269" s="15" t="n">
        <v>32</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I-C-0029</t>
        </is>
      </c>
      <c r="B4270" s="12" t="inlineStr">
        <is>
          <t>I</t>
        </is>
      </c>
      <c r="C4270" s="12" t="inlineStr">
        <is>
          <t>Modular / portable power</t>
        </is>
      </c>
      <c r="D4270" s="12" t="inlineStr">
        <is>
          <t>Motor 1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I-C-0030</t>
        </is>
      </c>
      <c r="B4271" s="12" t="inlineStr">
        <is>
          <t>I</t>
        </is>
      </c>
      <c r="C4271" s="12" t="inlineStr">
        <is>
          <t>Modular / portable power</t>
        </is>
      </c>
      <c r="D4271" s="12" t="inlineStr">
        <is>
          <t>Motor 2 of 6: control / local station</t>
        </is>
      </c>
      <c r="E4271" s="12" t="inlineStr"/>
      <c r="F4271" s="12" t="inlineStr">
        <is>
          <t>SC-2 PCM + 15 kV GCB</t>
        </is>
      </c>
      <c r="G4271" s="12" t="inlineStr"/>
      <c r="H4271" s="12" t="inlineStr">
        <is>
          <t>Fuel-gas compressors 3 x 100% electric</t>
        </is>
      </c>
      <c r="I4271" s="12" t="inlineStr">
        <is>
          <t>Control</t>
        </is>
      </c>
      <c r="J4271" s="12" t="inlineStr">
        <is>
          <t>ARMOR-X MC-HL 600 V control, Cu #14 AWG (Class I Div 2)</t>
        </is>
      </c>
      <c r="K4271" s="12" t="inlineStr">
        <is>
          <t>CTAX|7/C|14</t>
        </is>
      </c>
      <c r="L4271" s="12" t="inlineStr">
        <is>
          <t>7/C</t>
        </is>
      </c>
      <c r="M4271" s="12" t="inlineStr">
        <is>
          <t>14</t>
        </is>
      </c>
      <c r="N4271" s="12" t="n">
        <v>1</v>
      </c>
      <c r="O4271" s="12" t="n">
        <v>1</v>
      </c>
      <c r="P4271" s="12" t="n"/>
      <c r="Q4271" s="12" t="n"/>
      <c r="R4271" s="12" t="n"/>
      <c r="S4271" s="12" t="inlineStr">
        <is>
          <t>Duct bank</t>
        </is>
      </c>
      <c r="T4271" s="15" t="n">
        <v>8</v>
      </c>
      <c r="U4271" s="15" t="n">
        <v>108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I-C-0031</t>
        </is>
      </c>
      <c r="B4272" s="12" t="inlineStr">
        <is>
          <t>I</t>
        </is>
      </c>
      <c r="C4272" s="12" t="inlineStr">
        <is>
          <t>Modular / portable power</t>
        </is>
      </c>
      <c r="D4272" s="12" t="inlineStr">
        <is>
          <t>Motor 3 of 6: control / local station</t>
        </is>
      </c>
      <c r="E4272" s="12" t="inlineStr"/>
      <c r="F4272" s="12" t="inlineStr">
        <is>
          <t>SC-2 PCM + 15 kV GCB</t>
        </is>
      </c>
      <c r="G4272" s="12" t="inlineStr"/>
      <c r="H4272" s="12" t="inlineStr">
        <is>
          <t>Fuel-gas compressors 3 x 100% electric</t>
        </is>
      </c>
      <c r="I4272" s="12" t="inlineStr">
        <is>
          <t>Control</t>
        </is>
      </c>
      <c r="J4272" s="12" t="inlineStr">
        <is>
          <t>ARMOR-X MC-HL 600 V control, Cu #14 AWG (Class I Div 2)</t>
        </is>
      </c>
      <c r="K4272" s="12" t="inlineStr">
        <is>
          <t>CTAX|7/C|14</t>
        </is>
      </c>
      <c r="L4272" s="12" t="inlineStr">
        <is>
          <t>7/C</t>
        </is>
      </c>
      <c r="M4272" s="12" t="inlineStr">
        <is>
          <t>14</t>
        </is>
      </c>
      <c r="N4272" s="12" t="n">
        <v>1</v>
      </c>
      <c r="O4272" s="12" t="n">
        <v>1</v>
      </c>
      <c r="P4272" s="12" t="n"/>
      <c r="Q4272" s="12" t="n"/>
      <c r="R4272" s="12" t="n"/>
      <c r="S4272" s="12" t="inlineStr">
        <is>
          <t>Duct bank</t>
        </is>
      </c>
      <c r="T4272" s="15" t="n">
        <v>8</v>
      </c>
      <c r="U4272" s="15" t="n">
        <v>108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I-C-0032</t>
        </is>
      </c>
      <c r="B4273" s="12" t="inlineStr">
        <is>
          <t>I</t>
        </is>
      </c>
      <c r="C4273" s="12" t="inlineStr">
        <is>
          <t>Modular / portable power</t>
        </is>
      </c>
      <c r="D4273" s="12" t="inlineStr">
        <is>
          <t>Motor 4 of 6: control / local station</t>
        </is>
      </c>
      <c r="E4273" s="12" t="inlineStr"/>
      <c r="F4273" s="12" t="inlineStr">
        <is>
          <t>SC-2 PCM + 15 kV GCB</t>
        </is>
      </c>
      <c r="G4273" s="12" t="inlineStr"/>
      <c r="H4273" s="12" t="inlineStr">
        <is>
          <t>Fuel-gas compressors 3 x 100% electric</t>
        </is>
      </c>
      <c r="I4273" s="12" t="inlineStr">
        <is>
          <t>Control</t>
        </is>
      </c>
      <c r="J4273" s="12" t="inlineStr">
        <is>
          <t>ARMOR-X MC-HL 600 V control, Cu #14 AWG (Class I Div 2)</t>
        </is>
      </c>
      <c r="K4273" s="12" t="inlineStr">
        <is>
          <t>CTAX|7/C|14</t>
        </is>
      </c>
      <c r="L4273" s="12" t="inlineStr">
        <is>
          <t>7/C</t>
        </is>
      </c>
      <c r="M4273" s="12" t="inlineStr">
        <is>
          <t>14</t>
        </is>
      </c>
      <c r="N4273" s="12" t="n">
        <v>1</v>
      </c>
      <c r="O4273" s="12" t="n">
        <v>1</v>
      </c>
      <c r="P4273" s="12" t="n"/>
      <c r="Q4273" s="12" t="n"/>
      <c r="R4273" s="12" t="n"/>
      <c r="S4273" s="12" t="inlineStr">
        <is>
          <t>Duct bank</t>
        </is>
      </c>
      <c r="T4273" s="15" t="n">
        <v>8</v>
      </c>
      <c r="U4273" s="15" t="n">
        <v>108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I-C-0033</t>
        </is>
      </c>
      <c r="B4274" s="12" t="inlineStr">
        <is>
          <t>I</t>
        </is>
      </c>
      <c r="C4274" s="12" t="inlineStr">
        <is>
          <t>Modular / portable power</t>
        </is>
      </c>
      <c r="D4274" s="12" t="inlineStr">
        <is>
          <t>Motor 5 of 6: control / local station</t>
        </is>
      </c>
      <c r="E4274" s="12" t="inlineStr"/>
      <c r="F4274" s="12" t="inlineStr">
        <is>
          <t>SC-2 PCM + 15 kV GCB</t>
        </is>
      </c>
      <c r="G4274" s="12" t="inlineStr"/>
      <c r="H4274" s="12" t="inlineStr">
        <is>
          <t>Fuel-gas compressors 3 x 100% electric</t>
        </is>
      </c>
      <c r="I4274" s="12" t="inlineStr">
        <is>
          <t>Control</t>
        </is>
      </c>
      <c r="J4274" s="12" t="inlineStr">
        <is>
          <t>ARMOR-X MC-HL 600 V control, Cu #14 AWG (Class I Div 2)</t>
        </is>
      </c>
      <c r="K4274" s="12" t="inlineStr">
        <is>
          <t>CTAX|7/C|14</t>
        </is>
      </c>
      <c r="L4274" s="12" t="inlineStr">
        <is>
          <t>7/C</t>
        </is>
      </c>
      <c r="M4274" s="12" t="inlineStr">
        <is>
          <t>14</t>
        </is>
      </c>
      <c r="N4274" s="12" t="n">
        <v>1</v>
      </c>
      <c r="O4274" s="12" t="n">
        <v>1</v>
      </c>
      <c r="P4274" s="12" t="n"/>
      <c r="Q4274" s="12" t="n"/>
      <c r="R4274" s="12" t="n"/>
      <c r="S4274" s="12" t="inlineStr">
        <is>
          <t>Duct bank</t>
        </is>
      </c>
      <c r="T4274" s="15" t="n">
        <v>8</v>
      </c>
      <c r="U4274" s="15" t="n">
        <v>108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I-C-0034</t>
        </is>
      </c>
      <c r="B4275" s="12" t="inlineStr">
        <is>
          <t>I</t>
        </is>
      </c>
      <c r="C4275" s="12" t="inlineStr">
        <is>
          <t>Modular / portable power</t>
        </is>
      </c>
      <c r="D4275" s="12" t="inlineStr">
        <is>
          <t>Motor 6 of 6: control / local station</t>
        </is>
      </c>
      <c r="E4275" s="12" t="inlineStr"/>
      <c r="F4275" s="12" t="inlineStr">
        <is>
          <t>SC-2 PCM + 15 kV GCB</t>
        </is>
      </c>
      <c r="G4275" s="12" t="inlineStr"/>
      <c r="H4275" s="12" t="inlineStr">
        <is>
          <t>Fuel-gas compressors 3 x 100% electric</t>
        </is>
      </c>
      <c r="I4275" s="12" t="inlineStr">
        <is>
          <t>Control</t>
        </is>
      </c>
      <c r="J4275" s="12" t="inlineStr">
        <is>
          <t>ARMOR-X MC-HL 600 V control, Cu #14 AWG (Class I Div 2)</t>
        </is>
      </c>
      <c r="K4275" s="12" t="inlineStr">
        <is>
          <t>CTAX|7/C|14</t>
        </is>
      </c>
      <c r="L4275" s="12" t="inlineStr">
        <is>
          <t>7/C</t>
        </is>
      </c>
      <c r="M4275" s="12" t="inlineStr">
        <is>
          <t>14</t>
        </is>
      </c>
      <c r="N4275" s="12" t="n">
        <v>1</v>
      </c>
      <c r="O4275" s="12" t="n">
        <v>1</v>
      </c>
      <c r="P4275" s="12" t="n"/>
      <c r="Q4275" s="12" t="n"/>
      <c r="R4275" s="12" t="n"/>
      <c r="S4275" s="12" t="inlineStr">
        <is>
          <t>Duct bank</t>
        </is>
      </c>
      <c r="T4275" s="15" t="n">
        <v>8</v>
      </c>
      <c r="U4275" s="15" t="n">
        <v>108</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I-C-0035</t>
        </is>
      </c>
      <c r="B4276" s="12" t="inlineStr">
        <is>
          <t>I</t>
        </is>
      </c>
      <c r="C4276" s="12" t="inlineStr">
        <is>
          <t>Modular / portable power</t>
        </is>
      </c>
      <c r="D4276" s="12" t="inlineStr">
        <is>
          <t>L7 GB-1.1 control / sync / protection</t>
        </is>
      </c>
      <c r="E4276" s="12" t="inlineStr">
        <is>
          <t>GBC-1</t>
        </is>
      </c>
      <c r="F4276" s="12" t="inlineStr">
        <is>
          <t xml:space="preserve">GBC-1: block GB-1 generator collector box, 480 V outdoor switchboard, </t>
        </is>
      </c>
      <c r="G4276" s="12" t="inlineStr">
        <is>
          <t>GB-1.1</t>
        </is>
      </c>
      <c r="H4276" s="12" t="inlineStr">
        <is>
          <t>GB-1.1: modular gas genset 500 kW, 480 V (block GB-1,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I-C-0036</t>
        </is>
      </c>
      <c r="B4277" s="12" t="inlineStr">
        <is>
          <t>I</t>
        </is>
      </c>
      <c r="C4277" s="12" t="inlineStr">
        <is>
          <t>Modular / portable power</t>
        </is>
      </c>
      <c r="D4277" s="12" t="inlineStr">
        <is>
          <t>L7 GB-1.2 control / sync / protection</t>
        </is>
      </c>
      <c r="E4277" s="12" t="inlineStr">
        <is>
          <t>GBC-1</t>
        </is>
      </c>
      <c r="F4277" s="12" t="inlineStr">
        <is>
          <t xml:space="preserve">GBC-1: block GB-1 generator collector box, 480 V outdoor switchboard, </t>
        </is>
      </c>
      <c r="G4277" s="12" t="inlineStr">
        <is>
          <t>GB-1.2</t>
        </is>
      </c>
      <c r="H4277" s="12" t="inlineStr">
        <is>
          <t>GB-1.2: modular gas genset 500 kW, 480 V (block GB-1,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I-C-0037</t>
        </is>
      </c>
      <c r="B4278" s="12" t="inlineStr">
        <is>
          <t>I</t>
        </is>
      </c>
      <c r="C4278" s="12" t="inlineStr">
        <is>
          <t>Modular / portable power</t>
        </is>
      </c>
      <c r="D4278" s="12" t="inlineStr">
        <is>
          <t>L7 GB-1.3 control / sync / protection</t>
        </is>
      </c>
      <c r="E4278" s="12" t="inlineStr">
        <is>
          <t>GBC-1</t>
        </is>
      </c>
      <c r="F4278" s="12" t="inlineStr">
        <is>
          <t xml:space="preserve">GBC-1: block GB-1 generator collector box, 480 V outdoor switchboard, </t>
        </is>
      </c>
      <c r="G4278" s="12" t="inlineStr">
        <is>
          <t>GB-1.3</t>
        </is>
      </c>
      <c r="H4278" s="12" t="inlineStr">
        <is>
          <t>GB-1.3: modular gas genset 500 kW, 480 V (block GB-1,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I-C-0038</t>
        </is>
      </c>
      <c r="B4279" s="12" t="inlineStr">
        <is>
          <t>I</t>
        </is>
      </c>
      <c r="C4279" s="12" t="inlineStr">
        <is>
          <t>Modular / portable power</t>
        </is>
      </c>
      <c r="D4279" s="12" t="inlineStr">
        <is>
          <t>L7 GB-1.4 control / sync / protection</t>
        </is>
      </c>
      <c r="E4279" s="12" t="inlineStr">
        <is>
          <t>GBC-1</t>
        </is>
      </c>
      <c r="F4279" s="12" t="inlineStr">
        <is>
          <t xml:space="preserve">GBC-1: block GB-1 generator collector box, 480 V outdoor switchboard, </t>
        </is>
      </c>
      <c r="G4279" s="12" t="inlineStr">
        <is>
          <t>GB-1.4</t>
        </is>
      </c>
      <c r="H4279" s="12" t="inlineStr">
        <is>
          <t>GB-1.4: modular gas genset 500 kW, 480 V (block GB-1,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I-C-0039</t>
        </is>
      </c>
      <c r="B4280" s="12" t="inlineStr">
        <is>
          <t>I</t>
        </is>
      </c>
      <c r="C4280" s="12" t="inlineStr">
        <is>
          <t>Modular / portable power</t>
        </is>
      </c>
      <c r="D4280" s="12" t="inlineStr">
        <is>
          <t>L7 GB-1.5 control / sync / protection</t>
        </is>
      </c>
      <c r="E4280" s="12" t="inlineStr">
        <is>
          <t>GBC-1</t>
        </is>
      </c>
      <c r="F4280" s="12" t="inlineStr">
        <is>
          <t xml:space="preserve">GBC-1: block GB-1 generator collector box, 480 V outdoor switchboard, </t>
        </is>
      </c>
      <c r="G4280" s="12" t="inlineStr">
        <is>
          <t>GB-1.5</t>
        </is>
      </c>
      <c r="H4280" s="12" t="inlineStr">
        <is>
          <t>GB-1.5: modular gas genset 500 kW, 480 V (block GB-1,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I-C-0040</t>
        </is>
      </c>
      <c r="B4281" s="12" t="inlineStr">
        <is>
          <t>I</t>
        </is>
      </c>
      <c r="C4281" s="12" t="inlineStr">
        <is>
          <t>Modular / portable power</t>
        </is>
      </c>
      <c r="D4281" s="12" t="inlineStr">
        <is>
          <t>L7 GB-2.1 control / sync / protection</t>
        </is>
      </c>
      <c r="E4281" s="12" t="inlineStr">
        <is>
          <t>GBC-2</t>
        </is>
      </c>
      <c r="F4281" s="12" t="inlineStr">
        <is>
          <t xml:space="preserve">GBC-2: block GB-2 generator collector box, 480 V outdoor switchboard, </t>
        </is>
      </c>
      <c r="G4281" s="12" t="inlineStr">
        <is>
          <t>GB-2.1</t>
        </is>
      </c>
      <c r="H4281" s="12" t="inlineStr">
        <is>
          <t>GB-2.1: modular gas genset 500 kW, 480 V (block GB-2,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I-C-0041</t>
        </is>
      </c>
      <c r="B4282" s="12" t="inlineStr">
        <is>
          <t>I</t>
        </is>
      </c>
      <c r="C4282" s="12" t="inlineStr">
        <is>
          <t>Modular / portable power</t>
        </is>
      </c>
      <c r="D4282" s="12" t="inlineStr">
        <is>
          <t>L7 GB-2.2 control / sync / protection</t>
        </is>
      </c>
      <c r="E4282" s="12" t="inlineStr">
        <is>
          <t>GBC-2</t>
        </is>
      </c>
      <c r="F4282" s="12" t="inlineStr">
        <is>
          <t xml:space="preserve">GBC-2: block GB-2 generator collector box, 480 V outdoor switchboard, </t>
        </is>
      </c>
      <c r="G4282" s="12" t="inlineStr">
        <is>
          <t>GB-2.2</t>
        </is>
      </c>
      <c r="H4282" s="12" t="inlineStr">
        <is>
          <t>GB-2.2: modular gas genset 500 kW, 480 V (block GB-2,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I-C-0042</t>
        </is>
      </c>
      <c r="B4283" s="12" t="inlineStr">
        <is>
          <t>I</t>
        </is>
      </c>
      <c r="C4283" s="12" t="inlineStr">
        <is>
          <t>Modular / portable power</t>
        </is>
      </c>
      <c r="D4283" s="12" t="inlineStr">
        <is>
          <t>L7 GB-2.3 control / sync / protection</t>
        </is>
      </c>
      <c r="E4283" s="12" t="inlineStr">
        <is>
          <t>GBC-2</t>
        </is>
      </c>
      <c r="F4283" s="12" t="inlineStr">
        <is>
          <t xml:space="preserve">GBC-2: block GB-2 generator collector box, 480 V outdoor switchboard, </t>
        </is>
      </c>
      <c r="G4283" s="12" t="inlineStr">
        <is>
          <t>GB-2.3</t>
        </is>
      </c>
      <c r="H4283" s="12" t="inlineStr">
        <is>
          <t>GB-2.3: modular gas genset 500 kW, 480 V (block GB-2,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I-C-0043</t>
        </is>
      </c>
      <c r="B4284" s="12" t="inlineStr">
        <is>
          <t>I</t>
        </is>
      </c>
      <c r="C4284" s="12" t="inlineStr">
        <is>
          <t>Modular / portable power</t>
        </is>
      </c>
      <c r="D4284" s="12" t="inlineStr">
        <is>
          <t>L7 GB-2.4 control / sync / protection</t>
        </is>
      </c>
      <c r="E4284" s="12" t="inlineStr">
        <is>
          <t>GBC-2</t>
        </is>
      </c>
      <c r="F4284" s="12" t="inlineStr">
        <is>
          <t xml:space="preserve">GBC-2: block GB-2 generator collector box, 480 V outdoor switchboard, </t>
        </is>
      </c>
      <c r="G4284" s="12" t="inlineStr">
        <is>
          <t>GB-2.4</t>
        </is>
      </c>
      <c r="H4284" s="12" t="inlineStr">
        <is>
          <t>GB-2.4: modular gas genset 500 kW, 480 V (block GB-2,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I-C-0044</t>
        </is>
      </c>
      <c r="B4285" s="12" t="inlineStr">
        <is>
          <t>I</t>
        </is>
      </c>
      <c r="C4285" s="12" t="inlineStr">
        <is>
          <t>Modular / portable power</t>
        </is>
      </c>
      <c r="D4285" s="12" t="inlineStr">
        <is>
          <t>L7 GB-2.5 control / sync / protection</t>
        </is>
      </c>
      <c r="E4285" s="12" t="inlineStr">
        <is>
          <t>GBC-2</t>
        </is>
      </c>
      <c r="F4285" s="12" t="inlineStr">
        <is>
          <t xml:space="preserve">GBC-2: block GB-2 generator collector box, 480 V outdoor switchboard, </t>
        </is>
      </c>
      <c r="G4285" s="12" t="inlineStr">
        <is>
          <t>GB-2.5</t>
        </is>
      </c>
      <c r="H4285" s="12" t="inlineStr">
        <is>
          <t>GB-2.5: modular gas genset 500 kW, 480 V (block GB-2,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I-C-0045</t>
        </is>
      </c>
      <c r="B4286" s="12" t="inlineStr">
        <is>
          <t>I</t>
        </is>
      </c>
      <c r="C4286" s="12" t="inlineStr">
        <is>
          <t>Modular / portable power</t>
        </is>
      </c>
      <c r="D4286" s="12" t="inlineStr">
        <is>
          <t>L7 GB-3.1 control / sync / protection</t>
        </is>
      </c>
      <c r="E4286" s="12" t="inlineStr">
        <is>
          <t>GBC-3</t>
        </is>
      </c>
      <c r="F4286" s="12" t="inlineStr">
        <is>
          <t xml:space="preserve">GBC-3: block GB-3 generator collector box, 480 V outdoor switchboard, </t>
        </is>
      </c>
      <c r="G4286" s="12" t="inlineStr">
        <is>
          <t>GB-3.1</t>
        </is>
      </c>
      <c r="H4286" s="12" t="inlineStr">
        <is>
          <t>GB-3.1: modular gas genset 500 kW, 480 V (block GB-3,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44</v>
      </c>
      <c r="U4286" s="15" t="n">
        <v>28</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I-C-0046</t>
        </is>
      </c>
      <c r="B4287" s="12" t="inlineStr">
        <is>
          <t>I</t>
        </is>
      </c>
      <c r="C4287" s="12" t="inlineStr">
        <is>
          <t>Modular / portable power</t>
        </is>
      </c>
      <c r="D4287" s="12" t="inlineStr">
        <is>
          <t>L7 GB-3.2 control / sync / protection</t>
        </is>
      </c>
      <c r="E4287" s="12" t="inlineStr">
        <is>
          <t>GBC-3</t>
        </is>
      </c>
      <c r="F4287" s="12" t="inlineStr">
        <is>
          <t xml:space="preserve">GBC-3: block GB-3 generator collector box, 480 V outdoor switchboard, </t>
        </is>
      </c>
      <c r="G4287" s="12" t="inlineStr">
        <is>
          <t>GB-3.2</t>
        </is>
      </c>
      <c r="H4287" s="12" t="inlineStr">
        <is>
          <t>GB-3.2: modular gas genset 500 kW, 480 V (block GB-3,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I-C-0047</t>
        </is>
      </c>
      <c r="B4288" s="12" t="inlineStr">
        <is>
          <t>I</t>
        </is>
      </c>
      <c r="C4288" s="12" t="inlineStr">
        <is>
          <t>Modular / portable power</t>
        </is>
      </c>
      <c r="D4288" s="12" t="inlineStr">
        <is>
          <t>L7 GB-3.3 control / sync / protection</t>
        </is>
      </c>
      <c r="E4288" s="12" t="inlineStr">
        <is>
          <t>GBC-3</t>
        </is>
      </c>
      <c r="F4288" s="12" t="inlineStr">
        <is>
          <t xml:space="preserve">GBC-3: block GB-3 generator collector box, 480 V outdoor switchboard, </t>
        </is>
      </c>
      <c r="G4288" s="12" t="inlineStr">
        <is>
          <t>GB-3.3</t>
        </is>
      </c>
      <c r="H4288" s="12" t="inlineStr">
        <is>
          <t>GB-3.3: modular gas genset 500 kW, 480 V (block GB-3,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I-C-0048</t>
        </is>
      </c>
      <c r="B4289" s="12" t="inlineStr">
        <is>
          <t>I</t>
        </is>
      </c>
      <c r="C4289" s="12" t="inlineStr">
        <is>
          <t>Modular / portable power</t>
        </is>
      </c>
      <c r="D4289" s="12" t="inlineStr">
        <is>
          <t>L7 GB-3.4 control / sync / protection</t>
        </is>
      </c>
      <c r="E4289" s="12" t="inlineStr">
        <is>
          <t>GBC-3</t>
        </is>
      </c>
      <c r="F4289" s="12" t="inlineStr">
        <is>
          <t xml:space="preserve">GBC-3: block GB-3 generator collector box, 480 V outdoor switchboard, </t>
        </is>
      </c>
      <c r="G4289" s="12" t="inlineStr">
        <is>
          <t>GB-3.4</t>
        </is>
      </c>
      <c r="H4289" s="12" t="inlineStr">
        <is>
          <t>GB-3.4: modular gas genset 500 kW, 480 V (block GB-3,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I-C-0049</t>
        </is>
      </c>
      <c r="B4290" s="12" t="inlineStr">
        <is>
          <t>I</t>
        </is>
      </c>
      <c r="C4290" s="12" t="inlineStr">
        <is>
          <t>Modular / portable power</t>
        </is>
      </c>
      <c r="D4290" s="12" t="inlineStr">
        <is>
          <t>L7 GB-3.5 control / sync / protection</t>
        </is>
      </c>
      <c r="E4290" s="12" t="inlineStr">
        <is>
          <t>GBC-3</t>
        </is>
      </c>
      <c r="F4290" s="12" t="inlineStr">
        <is>
          <t xml:space="preserve">GBC-3: block GB-3 generator collector box, 480 V outdoor switchboard, </t>
        </is>
      </c>
      <c r="G4290" s="12" t="inlineStr">
        <is>
          <t>GB-3.5</t>
        </is>
      </c>
      <c r="H4290" s="12" t="inlineStr">
        <is>
          <t>GB-3.5: modular gas genset 500 kW, 480 V (block GB-3,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I-C-0050</t>
        </is>
      </c>
      <c r="B4291" s="12" t="inlineStr">
        <is>
          <t>I</t>
        </is>
      </c>
      <c r="C4291" s="12" t="inlineStr">
        <is>
          <t>Modular / portable power</t>
        </is>
      </c>
      <c r="D4291" s="12" t="inlineStr">
        <is>
          <t>L7 GB-4.1 control / sync / protection</t>
        </is>
      </c>
      <c r="E4291" s="12" t="inlineStr">
        <is>
          <t>GBC-4</t>
        </is>
      </c>
      <c r="F4291" s="12" t="inlineStr">
        <is>
          <t xml:space="preserve">GBC-4: block GB-4 generator collector box, 480 V outdoor switchboard, </t>
        </is>
      </c>
      <c r="G4291" s="12" t="inlineStr">
        <is>
          <t>GB-4.1</t>
        </is>
      </c>
      <c r="H4291" s="12" t="inlineStr">
        <is>
          <t>GB-4.1: modular gas genset 500 kW, 480 V (block GB-4, unit 1 of 5)</t>
        </is>
      </c>
      <c r="I4291" s="12" t="inlineStr">
        <is>
          <t>Control</t>
        </is>
      </c>
      <c r="J4291" s="12" t="inlineStr">
        <is>
          <t>ARMOR-X MC-HL 600 V control, Cu #14 AWG (Class I Div 2)</t>
        </is>
      </c>
      <c r="K4291" s="12" t="inlineStr">
        <is>
          <t>CTAX|12/C|14</t>
        </is>
      </c>
      <c r="L4291" s="12" t="inlineStr">
        <is>
          <t>12/C</t>
        </is>
      </c>
      <c r="M4291" s="12" t="inlineStr">
        <is>
          <t>14</t>
        </is>
      </c>
      <c r="N4291" s="12" t="n">
        <v>1</v>
      </c>
      <c r="O4291" s="12" t="n">
        <v>1</v>
      </c>
      <c r="P4291" s="12" t="n"/>
      <c r="Q4291" s="12" t="n"/>
      <c r="R4291" s="12" t="n"/>
      <c r="S4291" s="12" t="inlineStr">
        <is>
          <t>Surface</t>
        </is>
      </c>
      <c r="T4291" s="15" t="n">
        <v>34</v>
      </c>
      <c r="U4291" s="15" t="n">
        <v>36</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I-C-0051</t>
        </is>
      </c>
      <c r="B4292" s="12" t="inlineStr">
        <is>
          <t>I</t>
        </is>
      </c>
      <c r="C4292" s="12" t="inlineStr">
        <is>
          <t>Modular / portable power</t>
        </is>
      </c>
      <c r="D4292" s="12" t="inlineStr">
        <is>
          <t>L7 GB-4.2 control / sync / protection</t>
        </is>
      </c>
      <c r="E4292" s="12" t="inlineStr">
        <is>
          <t>GBC-4</t>
        </is>
      </c>
      <c r="F4292" s="12" t="inlineStr">
        <is>
          <t xml:space="preserve">GBC-4: block GB-4 generator collector box, 480 V outdoor switchboard, </t>
        </is>
      </c>
      <c r="G4292" s="12" t="inlineStr">
        <is>
          <t>GB-4.2</t>
        </is>
      </c>
      <c r="H4292" s="12" t="inlineStr">
        <is>
          <t>GB-4.2: modular gas genset 500 kW, 480 V (block GB-4, unit 2 of 5)</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Surface</t>
        </is>
      </c>
      <c r="T4292" s="15" t="n">
        <v>34</v>
      </c>
      <c r="U4292" s="15" t="n">
        <v>28</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I-C-0052</t>
        </is>
      </c>
      <c r="B4293" s="12" t="inlineStr">
        <is>
          <t>I</t>
        </is>
      </c>
      <c r="C4293" s="12" t="inlineStr">
        <is>
          <t>Modular / portable power</t>
        </is>
      </c>
      <c r="D4293" s="12" t="inlineStr">
        <is>
          <t>L7 GB-4.3 control / sync / protection</t>
        </is>
      </c>
      <c r="E4293" s="12" t="inlineStr">
        <is>
          <t>GBC-4</t>
        </is>
      </c>
      <c r="F4293" s="12" t="inlineStr">
        <is>
          <t xml:space="preserve">GBC-4: block GB-4 generator collector box, 480 V outdoor switchboard, </t>
        </is>
      </c>
      <c r="G4293" s="12" t="inlineStr">
        <is>
          <t>GB-4.3</t>
        </is>
      </c>
      <c r="H4293" s="12" t="inlineStr">
        <is>
          <t>GB-4.3: modular gas genset 500 kW, 480 V (block GB-4, unit 3 of 5)</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Surface</t>
        </is>
      </c>
      <c r="T4293" s="15" t="n">
        <v>24</v>
      </c>
      <c r="U4293" s="15" t="n">
        <v>28</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I-C-0053</t>
        </is>
      </c>
      <c r="B4294" s="12" t="inlineStr">
        <is>
          <t>I</t>
        </is>
      </c>
      <c r="C4294" s="12" t="inlineStr">
        <is>
          <t>Modular / portable power</t>
        </is>
      </c>
      <c r="D4294" s="12" t="inlineStr">
        <is>
          <t>L7 GB-4.4 control / sync / protection</t>
        </is>
      </c>
      <c r="E4294" s="12" t="inlineStr">
        <is>
          <t>GBC-4</t>
        </is>
      </c>
      <c r="F4294" s="12" t="inlineStr">
        <is>
          <t xml:space="preserve">GBC-4: block GB-4 generator collector box, 480 V outdoor switchboard, </t>
        </is>
      </c>
      <c r="G4294" s="12" t="inlineStr">
        <is>
          <t>GB-4.4</t>
        </is>
      </c>
      <c r="H4294" s="12" t="inlineStr">
        <is>
          <t>GB-4.4: modular gas genset 500 kW, 480 V (block GB-4, unit 4 of 5)</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Surface</t>
        </is>
      </c>
      <c r="T4294" s="15" t="n">
        <v>14</v>
      </c>
      <c r="U4294" s="15" t="n">
        <v>28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I-C-0054</t>
        </is>
      </c>
      <c r="B4295" s="12" t="inlineStr">
        <is>
          <t>I</t>
        </is>
      </c>
      <c r="C4295" s="12" t="inlineStr">
        <is>
          <t>Modular / portable power</t>
        </is>
      </c>
      <c r="D4295" s="12" t="inlineStr">
        <is>
          <t>L7 GB-4.5 control / sync / protection</t>
        </is>
      </c>
      <c r="E4295" s="12" t="inlineStr">
        <is>
          <t>GBC-4</t>
        </is>
      </c>
      <c r="F4295" s="12" t="inlineStr">
        <is>
          <t xml:space="preserve">GBC-4: block GB-4 generator collector box, 480 V outdoor switchboard, </t>
        </is>
      </c>
      <c r="G4295" s="12" t="inlineStr">
        <is>
          <t>GB-4.5</t>
        </is>
      </c>
      <c r="H4295" s="12" t="inlineStr">
        <is>
          <t>GB-4.5: modular gas genset 500 kW, 480 V (block GB-4, unit 5 of 5)</t>
        </is>
      </c>
      <c r="I4295" s="12" t="inlineStr">
        <is>
          <t>Control</t>
        </is>
      </c>
      <c r="J4295" s="12" t="inlineStr">
        <is>
          <t>ARMOR-X MC-HL 600 V control, Cu #14 AWG (Class I Div 2)</t>
        </is>
      </c>
      <c r="K4295" s="12" t="inlineStr">
        <is>
          <t>CTAX|12/C|14</t>
        </is>
      </c>
      <c r="L4295" s="12" t="inlineStr">
        <is>
          <t>12/C</t>
        </is>
      </c>
      <c r="M4295" s="12" t="inlineStr">
        <is>
          <t>14</t>
        </is>
      </c>
      <c r="N4295" s="12" t="n">
        <v>1</v>
      </c>
      <c r="O4295" s="12" t="n">
        <v>1</v>
      </c>
      <c r="P4295" s="12" t="n"/>
      <c r="Q4295" s="12" t="n"/>
      <c r="R4295" s="12" t="n"/>
      <c r="S4295" s="12" t="inlineStr">
        <is>
          <t>Tray</t>
        </is>
      </c>
      <c r="T4295" s="15" t="n">
        <v>0</v>
      </c>
      <c r="U4295" s="15" t="n">
        <v>30</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I-C-0055</t>
        </is>
      </c>
      <c r="B4296" s="12" t="inlineStr">
        <is>
          <t>I</t>
        </is>
      </c>
      <c r="C4296" s="12" t="inlineStr">
        <is>
          <t>Modular / portable power</t>
        </is>
      </c>
      <c r="D4296" s="12" t="inlineStr">
        <is>
          <t>Control</t>
        </is>
      </c>
      <c r="E4296" s="12" t="inlineStr"/>
      <c r="F4296" s="12" t="inlineStr">
        <is>
          <t>PCM: power control module</t>
        </is>
      </c>
      <c r="G4296" s="12" t="inlineStr"/>
      <c r="H4296" s="12" t="inlineStr">
        <is>
          <t>Gas conditioning skid</t>
        </is>
      </c>
      <c r="I4296" s="12" t="inlineStr">
        <is>
          <t>Control</t>
        </is>
      </c>
      <c r="J4296" s="12" t="inlineStr">
        <is>
          <t>ARMOR-X MC-HL 600 V control, Cu #14 AWG (Class I Div 2)</t>
        </is>
      </c>
      <c r="K4296" s="12" t="inlineStr">
        <is>
          <t>CTAX|7/C|14</t>
        </is>
      </c>
      <c r="L4296" s="12" t="inlineStr">
        <is>
          <t>7/C</t>
        </is>
      </c>
      <c r="M4296" s="12" t="inlineStr">
        <is>
          <t>14</t>
        </is>
      </c>
      <c r="N4296" s="12" t="n">
        <v>1</v>
      </c>
      <c r="O4296" s="12" t="n">
        <v>1</v>
      </c>
      <c r="P4296" s="12" t="n"/>
      <c r="Q4296" s="12" t="n"/>
      <c r="R4296" s="12" t="n"/>
      <c r="S4296" s="12" t="inlineStr">
        <is>
          <t>Duct bank</t>
        </is>
      </c>
      <c r="T4296" s="15" t="n">
        <v>258</v>
      </c>
      <c r="U4296" s="15" t="n">
        <v>172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I-C-0056</t>
        </is>
      </c>
      <c r="B4297" s="12" t="inlineStr">
        <is>
          <t>I</t>
        </is>
      </c>
      <c r="C4297" s="12" t="inlineStr">
        <is>
          <t>Modular / portable power</t>
        </is>
      </c>
      <c r="D4297" s="12" t="inlineStr">
        <is>
          <t>IG-1 unit control / sync / protection</t>
        </is>
      </c>
      <c r="E4297" s="12" t="inlineStr">
        <is>
          <t>SWG-PK</t>
        </is>
      </c>
      <c r="F4297" s="12" t="inlineStr">
        <is>
          <t>SWG-PK: 34.5 kV park collector switchgear (2 bus sections, tie; 8 feed</t>
        </is>
      </c>
      <c r="G4297" s="12" t="inlineStr">
        <is>
          <t>IG-1</t>
        </is>
      </c>
      <c r="H4297" s="12" t="inlineStr">
        <is>
          <t>IG-1: industrial gas-turbine installation, ~50 MW class (~50 MW)</t>
        </is>
      </c>
      <c r="I4297" s="12" t="inlineStr">
        <is>
          <t>Control</t>
        </is>
      </c>
      <c r="J4297" s="12" t="inlineStr">
        <is>
          <t>ARMOR-X MC-HL 600 V control, Cu #14 AWG (Class I Div 2)</t>
        </is>
      </c>
      <c r="K4297" s="12" t="inlineStr">
        <is>
          <t>CTAX|12/C|14</t>
        </is>
      </c>
      <c r="L4297" s="12" t="inlineStr">
        <is>
          <t>12/C</t>
        </is>
      </c>
      <c r="M4297" s="12" t="inlineStr">
        <is>
          <t>14</t>
        </is>
      </c>
      <c r="N4297" s="12" t="n">
        <v>1</v>
      </c>
      <c r="O4297" s="12" t="n">
        <v>1</v>
      </c>
      <c r="P4297" s="12" t="n"/>
      <c r="Q4297" s="12" t="n"/>
      <c r="R4297" s="12" t="n"/>
      <c r="S4297" s="12" t="inlineStr">
        <is>
          <t>Duct bank</t>
        </is>
      </c>
      <c r="T4297" s="15" t="n">
        <v>174</v>
      </c>
      <c r="U4297" s="15" t="n">
        <v>40</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I-C-0057</t>
        </is>
      </c>
      <c r="B4298" s="12" t="inlineStr">
        <is>
          <t>I</t>
        </is>
      </c>
      <c r="C4298" s="12" t="inlineStr">
        <is>
          <t>Modular / portable power</t>
        </is>
      </c>
      <c r="D4298" s="12" t="inlineStr">
        <is>
          <t>IG-GSU protection / trip / cooling control</t>
        </is>
      </c>
      <c r="E4298" s="12" t="inlineStr">
        <is>
          <t>IG-1</t>
        </is>
      </c>
      <c r="F4298" s="12" t="inlineStr">
        <is>
          <t>IG-1: industrial gas-turbine installation, ~50 MW class (~50 MW)</t>
        </is>
      </c>
      <c r="G4298" s="12" t="inlineStr">
        <is>
          <t>IG-GSU</t>
        </is>
      </c>
      <c r="H4298" s="12" t="inlineStr">
        <is>
          <t>IG-GSU: 13.8 / 34.5 kV step-up, ~60 MVA (IG-1 unit step-up)</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Duct bank</t>
        </is>
      </c>
      <c r="T4298" s="15" t="n">
        <v>26</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I-C-0058</t>
        </is>
      </c>
      <c r="B4299" s="12" t="inlineStr">
        <is>
          <t>I</t>
        </is>
      </c>
      <c r="C4299" s="12" t="inlineStr">
        <is>
          <t>Modular / portable power</t>
        </is>
      </c>
      <c r="D4299" s="12" t="inlineStr">
        <is>
          <t>Control</t>
        </is>
      </c>
      <c r="E4299" s="12" t="inlineStr">
        <is>
          <t>PAD-EH</t>
        </is>
      </c>
      <c r="F4299" s="12" t="inlineStr">
        <is>
          <t>PAD-EH 13.8 kV switchgear e-house</t>
        </is>
      </c>
      <c r="G4299" s="12" t="inlineStr">
        <is>
          <t>LB</t>
        </is>
      </c>
      <c r="H4299" s="12" t="inlineStr">
        <is>
          <t>LB: commissioning load bank (trailer)</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189</v>
      </c>
      <c r="U4299" s="15" t="n">
        <v>58</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I-C-0059</t>
        </is>
      </c>
      <c r="B4300" s="12" t="inlineStr">
        <is>
          <t>I</t>
        </is>
      </c>
      <c r="C4300" s="12" t="inlineStr">
        <is>
          <t>Modular / portable power</t>
        </is>
      </c>
      <c r="D4300" s="12" t="inlineStr">
        <is>
          <t>Control</t>
        </is>
      </c>
      <c r="E4300" s="12" t="inlineStr"/>
      <c r="F4300" s="12" t="inlineStr">
        <is>
          <t>PCM: power control module</t>
        </is>
      </c>
      <c r="G4300" s="12" t="inlineStr"/>
      <c r="H4300" s="12" t="inlineStr">
        <is>
          <t>Lube oil / starting air / oily water building</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5" t="n">
        <v>344</v>
      </c>
      <c r="U4300" s="15" t="n">
        <v>164</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I-C-0060</t>
        </is>
      </c>
      <c r="B4301" s="12" t="inlineStr">
        <is>
          <t>I</t>
        </is>
      </c>
      <c r="C4301" s="12" t="inlineStr">
        <is>
          <t>Modular / portable power</t>
        </is>
      </c>
      <c r="D4301" s="12" t="inlineStr">
        <is>
          <t>Control</t>
        </is>
      </c>
      <c r="E4301" s="12" t="inlineStr"/>
      <c r="F4301" s="12" t="inlineStr">
        <is>
          <t>PCM: power control module</t>
        </is>
      </c>
      <c r="G4301" s="12" t="inlineStr">
        <is>
          <t>MOD-EH</t>
        </is>
      </c>
      <c r="H4301" s="12" t="inlineStr">
        <is>
          <t>MOD-EH: 34.5 kV modular collector e-house (2 bus sections + 13.8 kV st</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5" t="n">
        <v>300</v>
      </c>
      <c r="U4301" s="15" t="n">
        <v>32</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I-C-0061</t>
        </is>
      </c>
      <c r="B4302" s="12" t="inlineStr">
        <is>
          <t>I</t>
        </is>
      </c>
      <c r="C4302" s="12" t="inlineStr">
        <is>
          <t>Modular / portable power</t>
        </is>
      </c>
      <c r="D4302" s="12" t="inlineStr">
        <is>
          <t>MOD-GT1 protection / trip / cooling control</t>
        </is>
      </c>
      <c r="E4302" s="12" t="inlineStr">
        <is>
          <t>MOD-EH</t>
        </is>
      </c>
      <c r="F4302" s="12" t="inlineStr">
        <is>
          <t>MOD-EH: 34.5 kV modular collector e-house (2 bus sections + 13.8 kV st</t>
        </is>
      </c>
      <c r="G4302" s="12" t="inlineStr">
        <is>
          <t>MOD-GT1</t>
        </is>
      </c>
      <c r="H4302" s="12" t="inlineStr">
        <is>
          <t>MOD-GT1: 34.5 kV zigzag grounding transformer, MOD-EH bus 1</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Riser</t>
        </is>
      </c>
      <c r="T4302" s="15" t="n">
        <v>4</v>
      </c>
      <c r="U4302" s="15" t="n">
        <v>32</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I-C-0062</t>
        </is>
      </c>
      <c r="B4303" s="12" t="inlineStr">
        <is>
          <t>I</t>
        </is>
      </c>
      <c r="C4303" s="12" t="inlineStr">
        <is>
          <t>Modular / portable power</t>
        </is>
      </c>
      <c r="D4303" s="12" t="inlineStr">
        <is>
          <t>MOD-GT2 protection / trip / cooling control</t>
        </is>
      </c>
      <c r="E4303" s="12" t="inlineStr">
        <is>
          <t>MOD-EH</t>
        </is>
      </c>
      <c r="F4303" s="12" t="inlineStr">
        <is>
          <t>MOD-EH: 34.5 kV modular collector e-house (2 bus sections + 13.8 kV st</t>
        </is>
      </c>
      <c r="G4303" s="12" t="inlineStr">
        <is>
          <t>MOD-GT2</t>
        </is>
      </c>
      <c r="H4303" s="12" t="inlineStr">
        <is>
          <t>MOD-GT2: 34.5 kV zigzag grounding transformer, MOD-EH bus 2</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Riser</t>
        </is>
      </c>
      <c r="T4303" s="15" t="n">
        <v>4</v>
      </c>
      <c r="U4303" s="15" t="n">
        <v>32</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I-C-0063</t>
        </is>
      </c>
      <c r="B4304" s="12" t="inlineStr">
        <is>
          <t>I</t>
        </is>
      </c>
      <c r="C4304" s="12" t="inlineStr">
        <is>
          <t>Modular / portable power</t>
        </is>
      </c>
      <c r="D4304" s="12" t="inlineStr">
        <is>
          <t>Control</t>
        </is>
      </c>
      <c r="E4304" s="12" t="inlineStr"/>
      <c r="F4304" s="12" t="inlineStr">
        <is>
          <t>PCM: power control module</t>
        </is>
      </c>
      <c r="G4304" s="12" t="inlineStr"/>
      <c r="H4304" s="12" t="inlineStr">
        <is>
          <t>MOD-LV 480 V board + 480 V : 13.8 kV step-up</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5" t="n">
        <v>723</v>
      </c>
      <c r="U4304" s="15" t="n">
        <v>32</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I-C-0064</t>
        </is>
      </c>
      <c r="B4305" s="12" t="inlineStr">
        <is>
          <t>I</t>
        </is>
      </c>
      <c r="C4305" s="12" t="inlineStr">
        <is>
          <t>Modular / portable power</t>
        </is>
      </c>
      <c r="D4305" s="12" t="inlineStr">
        <is>
          <t>MOD-SST protection / trip / cooling control</t>
        </is>
      </c>
      <c r="E4305" s="12" t="inlineStr">
        <is>
          <t>MOD-EH</t>
        </is>
      </c>
      <c r="F4305" s="12" t="inlineStr">
        <is>
          <t>MOD-EH: 34.5 kV modular collector e-house (2 bus sections + 13.8 kV st</t>
        </is>
      </c>
      <c r="G4305" s="12" t="inlineStr">
        <is>
          <t>MOD-SST</t>
        </is>
      </c>
      <c r="H4305" s="12" t="inlineStr">
        <is>
          <t>MOD-SST: 34.5 / 13.8 kV station-service transformer, ~10 MVA (yard sta</t>
        </is>
      </c>
      <c r="I4305" s="12" t="inlineStr">
        <is>
          <t>Control</t>
        </is>
      </c>
      <c r="J4305" s="12" t="inlineStr">
        <is>
          <t>Control cable 600 V Type TC-ER, Cu #14 AWG, PVC jacket</t>
        </is>
      </c>
      <c r="K4305" s="12" t="inlineStr">
        <is>
          <t>CT|12/C|14</t>
        </is>
      </c>
      <c r="L4305" s="12" t="inlineStr">
        <is>
          <t>12/C</t>
        </is>
      </c>
      <c r="M4305" s="12" t="inlineStr">
        <is>
          <t>14</t>
        </is>
      </c>
      <c r="N4305" s="12" t="n">
        <v>1</v>
      </c>
      <c r="O4305" s="12" t="n">
        <v>1</v>
      </c>
      <c r="P4305" s="12" t="n"/>
      <c r="Q4305" s="12" t="n"/>
      <c r="R4305" s="12" t="n"/>
      <c r="S4305" s="12" t="inlineStr">
        <is>
          <t>Duct bank</t>
        </is>
      </c>
      <c r="T4305" s="15" t="n">
        <v>223</v>
      </c>
      <c r="U4305" s="15" t="n">
        <v>32</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I-C-0065</t>
        </is>
      </c>
      <c r="B4306" s="12" t="inlineStr">
        <is>
          <t>I</t>
        </is>
      </c>
      <c r="C4306" s="12" t="inlineStr">
        <is>
          <t>Modular / portable power</t>
        </is>
      </c>
      <c r="D4306" s="12" t="inlineStr">
        <is>
          <t>MT-TX protection / trip / cooling control</t>
        </is>
      </c>
      <c r="E4306" s="12" t="inlineStr"/>
      <c r="F4306" s="12" t="inlineStr">
        <is>
          <t>MT-4..6 480 V switchboard</t>
        </is>
      </c>
      <c r="G4306" s="12" t="inlineStr">
        <is>
          <t>MT-TX</t>
        </is>
      </c>
      <c r="H4306" s="12" t="inlineStr">
        <is>
          <t>MT-TX: 480 V : 13.8 kV, ~3.75 MVA pad-mount (microturbine site)</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0</v>
      </c>
      <c r="U4306" s="15" t="n">
        <v>36</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I-C-0066</t>
        </is>
      </c>
      <c r="B4307" s="12" t="inlineStr">
        <is>
          <t>I</t>
        </is>
      </c>
      <c r="C4307" s="12" t="inlineStr">
        <is>
          <t>Modular / portable power</t>
        </is>
      </c>
      <c r="D4307" s="12" t="inlineStr">
        <is>
          <t>MTG-1 control / sync / protection</t>
        </is>
      </c>
      <c r="E4307" s="12" t="inlineStr">
        <is>
          <t>MTG-SWG</t>
        </is>
      </c>
      <c r="F4307" s="12" t="inlineStr">
        <is>
          <t>MTG-SWG: 13.8 kV switchgear e-house (2 generator breakers, site feeder</t>
        </is>
      </c>
      <c r="G4307" s="12" t="inlineStr">
        <is>
          <t>MTG-1</t>
        </is>
      </c>
      <c r="H4307" s="12" t="inlineStr">
        <is>
          <t xml:space="preserve">MTG-1: mid-size industrial gas-turbine generator package ~16 MW, 13.8 </t>
        </is>
      </c>
      <c r="I4307" s="12" t="inlineStr">
        <is>
          <t>Control</t>
        </is>
      </c>
      <c r="J4307" s="12" t="inlineStr">
        <is>
          <t>ARMOR-X MC-HL 600 V control, Cu #14 AWG (Class I Div 2)</t>
        </is>
      </c>
      <c r="K4307" s="12" t="inlineStr">
        <is>
          <t>CTAX|12/C|14</t>
        </is>
      </c>
      <c r="L4307" s="12" t="inlineStr">
        <is>
          <t>12/C</t>
        </is>
      </c>
      <c r="M4307" s="12" t="inlineStr">
        <is>
          <t>14</t>
        </is>
      </c>
      <c r="N4307" s="12" t="n">
        <v>1</v>
      </c>
      <c r="O4307" s="12" t="n">
        <v>1</v>
      </c>
      <c r="P4307" s="12" t="n"/>
      <c r="Q4307" s="12" t="n"/>
      <c r="R4307" s="12" t="n"/>
      <c r="S4307" s="12" t="inlineStr">
        <is>
          <t>Duct bank</t>
        </is>
      </c>
      <c r="T4307" s="15" t="n">
        <v>37</v>
      </c>
      <c r="U4307" s="15" t="n">
        <v>34</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I-C-0067</t>
        </is>
      </c>
      <c r="B4308" s="12" t="inlineStr">
        <is>
          <t>I</t>
        </is>
      </c>
      <c r="C4308" s="12" t="inlineStr">
        <is>
          <t>Modular / portable power</t>
        </is>
      </c>
      <c r="D4308" s="12" t="inlineStr">
        <is>
          <t>MTG-1 fuel-gas valves, Class I Div 2</t>
        </is>
      </c>
      <c r="E4308" s="12" t="inlineStr">
        <is>
          <t>MTG-FG</t>
        </is>
      </c>
      <c r="F4308" s="12" t="inlineStr">
        <is>
          <t>MTG-FG: fuel-gas conditioning skid (scrubber, filter-separator, heater</t>
        </is>
      </c>
      <c r="G4308" s="12" t="inlineStr">
        <is>
          <t>MTG-1</t>
        </is>
      </c>
      <c r="H4308" s="12" t="inlineStr">
        <is>
          <t xml:space="preserve">MTG-1: mid-size industrial gas-turbine generator package ~16 MW, 13.8 </t>
        </is>
      </c>
      <c r="I4308" s="12" t="inlineStr">
        <is>
          <t>Control</t>
        </is>
      </c>
      <c r="J4308" s="12" t="inlineStr">
        <is>
          <t>ARMOR-X MC-HL 600 V control, Cu #14 AWG (Class I Div 2)</t>
        </is>
      </c>
      <c r="K4308" s="12" t="inlineStr">
        <is>
          <t>CTAX|12/C|14</t>
        </is>
      </c>
      <c r="L4308" s="12" t="inlineStr">
        <is>
          <t>12/C</t>
        </is>
      </c>
      <c r="M4308" s="12" t="inlineStr">
        <is>
          <t>14</t>
        </is>
      </c>
      <c r="N4308" s="12" t="n">
        <v>1</v>
      </c>
      <c r="O4308" s="12" t="n">
        <v>1</v>
      </c>
      <c r="P4308" s="12" t="n"/>
      <c r="Q4308" s="12" t="n"/>
      <c r="R4308" s="12" t="n"/>
      <c r="S4308" s="12" t="inlineStr">
        <is>
          <t>Tray</t>
        </is>
      </c>
      <c r="T4308" s="15" t="n">
        <v>0</v>
      </c>
      <c r="U4308" s="15" t="n">
        <v>36</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I-C-0068</t>
        </is>
      </c>
      <c r="B4309" s="12" t="inlineStr">
        <is>
          <t>I</t>
        </is>
      </c>
      <c r="C4309" s="12" t="inlineStr">
        <is>
          <t>Modular / portable power</t>
        </is>
      </c>
      <c r="D4309" s="12" t="inlineStr">
        <is>
          <t>MTG-2 control / sync / protection</t>
        </is>
      </c>
      <c r="E4309" s="12" t="inlineStr">
        <is>
          <t>MTG-SWG</t>
        </is>
      </c>
      <c r="F4309" s="12" t="inlineStr">
        <is>
          <t>MTG-SWG: 13.8 kV switchgear e-house (2 generator breakers, site feeder</t>
        </is>
      </c>
      <c r="G4309" s="12" t="inlineStr">
        <is>
          <t>MTG-2</t>
        </is>
      </c>
      <c r="H4309" s="12" t="inlineStr">
        <is>
          <t xml:space="preserve">MTG-2: mid-size industrial gas-turbine generator package ~16 MW, 13.8 </t>
        </is>
      </c>
      <c r="I4309" s="12" t="inlineStr">
        <is>
          <t>Control</t>
        </is>
      </c>
      <c r="J4309" s="12" t="inlineStr">
        <is>
          <t>ARMOR-X MC-HL 600 V control, Cu #14 AWG (Class I Div 2)</t>
        </is>
      </c>
      <c r="K4309" s="12" t="inlineStr">
        <is>
          <t>CTAX|12/C|14</t>
        </is>
      </c>
      <c r="L4309" s="12" t="inlineStr">
        <is>
          <t>12/C</t>
        </is>
      </c>
      <c r="M4309" s="12" t="inlineStr">
        <is>
          <t>14</t>
        </is>
      </c>
      <c r="N4309" s="12" t="n">
        <v>1</v>
      </c>
      <c r="O4309" s="12" t="n">
        <v>1</v>
      </c>
      <c r="P4309" s="12" t="n"/>
      <c r="Q4309" s="12" t="n"/>
      <c r="R4309" s="12" t="n"/>
      <c r="S4309" s="12" t="inlineStr">
        <is>
          <t>Duct bank</t>
        </is>
      </c>
      <c r="T4309" s="15" t="n">
        <v>7</v>
      </c>
      <c r="U4309" s="15" t="n">
        <v>34</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I-C-0069</t>
        </is>
      </c>
      <c r="B4310" s="12" t="inlineStr">
        <is>
          <t>I</t>
        </is>
      </c>
      <c r="C4310" s="12" t="inlineStr">
        <is>
          <t>Modular / portable power</t>
        </is>
      </c>
      <c r="D4310" s="12" t="inlineStr">
        <is>
          <t>MTG-2 fuel-gas valves, Class I Div 2</t>
        </is>
      </c>
      <c r="E4310" s="12" t="inlineStr">
        <is>
          <t>MTG-FG</t>
        </is>
      </c>
      <c r="F4310" s="12" t="inlineStr">
        <is>
          <t>MTG-FG: fuel-gas conditioning skid (scrubber, filter-separator, heater</t>
        </is>
      </c>
      <c r="G4310" s="12" t="inlineStr">
        <is>
          <t>MTG-2</t>
        </is>
      </c>
      <c r="H4310" s="12" t="inlineStr">
        <is>
          <t xml:space="preserve">MTG-2: mid-size industrial gas-turbine generator package ~16 MW, 13.8 </t>
        </is>
      </c>
      <c r="I4310" s="12" t="inlineStr">
        <is>
          <t>Control</t>
        </is>
      </c>
      <c r="J4310" s="12" t="inlineStr">
        <is>
          <t>ARMOR-X MC-HL 600 V control, Cu #14 AWG (Class I Div 2)</t>
        </is>
      </c>
      <c r="K4310" s="12" t="inlineStr">
        <is>
          <t>CTAX|12/C|14</t>
        </is>
      </c>
      <c r="L4310" s="12" t="inlineStr">
        <is>
          <t>12/C</t>
        </is>
      </c>
      <c r="M4310" s="12" t="inlineStr">
        <is>
          <t>14</t>
        </is>
      </c>
      <c r="N4310" s="12" t="n">
        <v>1</v>
      </c>
      <c r="O4310" s="12" t="n">
        <v>1</v>
      </c>
      <c r="P4310" s="12" t="n"/>
      <c r="Q4310" s="12" t="n"/>
      <c r="R4310" s="12" t="n"/>
      <c r="S4310" s="12" t="inlineStr">
        <is>
          <t>Duct bank</t>
        </is>
      </c>
      <c r="T4310" s="15" t="n">
        <v>70</v>
      </c>
      <c r="U4310" s="15" t="n">
        <v>37</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I-C-0070</t>
        </is>
      </c>
      <c r="B4311" s="12" t="inlineStr">
        <is>
          <t>I</t>
        </is>
      </c>
      <c r="C4311" s="12" t="inlineStr">
        <is>
          <t>Modular / portable power</t>
        </is>
      </c>
      <c r="D4311" s="12" t="inlineStr">
        <is>
          <t>MTG-AUX protection / trip / cooling control</t>
        </is>
      </c>
      <c r="E4311" s="12" t="inlineStr">
        <is>
          <t>MTG-SWG</t>
        </is>
      </c>
      <c r="F4311" s="12" t="inlineStr">
        <is>
          <t>MTG-SWG: 13.8 kV switchgear e-house (2 generator breakers, site feeder</t>
        </is>
      </c>
      <c r="G4311" s="12" t="inlineStr">
        <is>
          <t>MTG-AUX</t>
        </is>
      </c>
      <c r="H4311" s="12" t="inlineStr">
        <is>
          <t>MTG-AUX: 13.8 / 0.48 kV auxiliary transformer</t>
        </is>
      </c>
      <c r="I4311" s="12" t="inlineStr">
        <is>
          <t>Control</t>
        </is>
      </c>
      <c r="J4311" s="12" t="inlineStr">
        <is>
          <t>Control cable 600 V Type TC-ER, Cu #14 AWG, PVC jacket</t>
        </is>
      </c>
      <c r="K4311" s="12" t="inlineStr">
        <is>
          <t>CT|12/C|14</t>
        </is>
      </c>
      <c r="L4311" s="12" t="inlineStr">
        <is>
          <t>12/C</t>
        </is>
      </c>
      <c r="M4311" s="12" t="inlineStr">
        <is>
          <t>14</t>
        </is>
      </c>
      <c r="N4311" s="12" t="n">
        <v>1</v>
      </c>
      <c r="O4311" s="12" t="n">
        <v>1</v>
      </c>
      <c r="P4311" s="12" t="n"/>
      <c r="Q4311" s="12" t="n"/>
      <c r="R4311" s="12" t="n"/>
      <c r="S4311" s="12" t="inlineStr">
        <is>
          <t>Duct bank</t>
        </is>
      </c>
      <c r="T4311" s="15" t="n">
        <v>34</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I-C-0071</t>
        </is>
      </c>
      <c r="B4312" s="12" t="inlineStr">
        <is>
          <t>I</t>
        </is>
      </c>
      <c r="C4312" s="12" t="inlineStr">
        <is>
          <t>Modular / portable power</t>
        </is>
      </c>
      <c r="D4312" s="12" t="inlineStr">
        <is>
          <t>MTG-GSU protection / trip / cooling control</t>
        </is>
      </c>
      <c r="E4312" s="12" t="inlineStr">
        <is>
          <t>MTG-SWG</t>
        </is>
      </c>
      <c r="F4312" s="12" t="inlineStr">
        <is>
          <t>MTG-SWG: 13.8 kV switchgear e-house (2 generator breakers, site feeder</t>
        </is>
      </c>
      <c r="G4312" s="12" t="inlineStr">
        <is>
          <t>MTG-GSU</t>
        </is>
      </c>
      <c r="H4312" s="12" t="inlineStr">
        <is>
          <t>MTG-GSU: 13.8 / 34.5 kV step-up, ~40 MVA (mid-size turbines)</t>
        </is>
      </c>
      <c r="I4312" s="12" t="inlineStr">
        <is>
          <t>Control</t>
        </is>
      </c>
      <c r="J4312" s="12" t="inlineStr">
        <is>
          <t>Control cable 600 V Type TC-ER, Cu #14 AWG, PVC jacket</t>
        </is>
      </c>
      <c r="K4312" s="12" t="inlineStr">
        <is>
          <t>CT|12/C|14</t>
        </is>
      </c>
      <c r="L4312" s="12" t="inlineStr">
        <is>
          <t>12/C</t>
        </is>
      </c>
      <c r="M4312" s="12" t="inlineStr">
        <is>
          <t>14</t>
        </is>
      </c>
      <c r="N4312" s="12" t="n">
        <v>1</v>
      </c>
      <c r="O4312" s="12" t="n">
        <v>1</v>
      </c>
      <c r="P4312" s="12" t="n"/>
      <c r="Q4312" s="12" t="n"/>
      <c r="R4312" s="12" t="n"/>
      <c r="S4312" s="12" t="inlineStr">
        <is>
          <t>Duct bank</t>
        </is>
      </c>
      <c r="T4312" s="15" t="n">
        <v>12</v>
      </c>
      <c r="U4312" s="15" t="n">
        <v>32</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I-C-0072</t>
        </is>
      </c>
      <c r="B4313" s="12" t="inlineStr">
        <is>
          <t>I</t>
        </is>
      </c>
      <c r="C4313" s="12" t="inlineStr">
        <is>
          <t>Modular / portable power</t>
        </is>
      </c>
      <c r="D4313" s="12" t="inlineStr">
        <is>
          <t>MTG-1 generator CT / VT secondaries to the protection</t>
        </is>
      </c>
      <c r="E4313" s="12" t="inlineStr">
        <is>
          <t>MTG-1</t>
        </is>
      </c>
      <c r="F4313" s="12" t="inlineStr">
        <is>
          <t xml:space="preserve">MTG-1: mid-size industrial gas-turbine generator package ~16 MW, 13.8 </t>
        </is>
      </c>
      <c r="G4313" s="12" t="inlineStr">
        <is>
          <t>MTG-SWG</t>
        </is>
      </c>
      <c r="H4313" s="12" t="inlineStr">
        <is>
          <t>MTG-SWG: 13.8 kV switchgear e-house (2 generator breakers, site feeder</t>
        </is>
      </c>
      <c r="I4313" s="12" t="inlineStr">
        <is>
          <t>Control</t>
        </is>
      </c>
      <c r="J4313" s="12" t="inlineStr">
        <is>
          <t>Control cable 600 V Type TC-ER, Cu #10 AWG (CT / VT circuits)</t>
        </is>
      </c>
      <c r="K4313" s="12" t="inlineStr">
        <is>
          <t>CTCT|12/C|10</t>
        </is>
      </c>
      <c r="L4313" s="12" t="inlineStr">
        <is>
          <t>12/C</t>
        </is>
      </c>
      <c r="M4313" s="12" t="inlineStr">
        <is>
          <t>10</t>
        </is>
      </c>
      <c r="N4313" s="12" t="n">
        <v>1</v>
      </c>
      <c r="O4313" s="12" t="n">
        <v>1</v>
      </c>
      <c r="P4313" s="12" t="n"/>
      <c r="Q4313" s="12" t="n"/>
      <c r="R4313" s="12" t="n"/>
      <c r="S4313" s="12" t="inlineStr">
        <is>
          <t>Duct bank</t>
        </is>
      </c>
      <c r="T4313" s="15" t="n">
        <v>39</v>
      </c>
      <c r="U4313" s="15" t="n">
        <v>32</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I-C-0073</t>
        </is>
      </c>
      <c r="B4314" s="12" t="inlineStr">
        <is>
          <t>I</t>
        </is>
      </c>
      <c r="C4314" s="12" t="inlineStr">
        <is>
          <t>Modular / portable power</t>
        </is>
      </c>
      <c r="D4314" s="12" t="inlineStr">
        <is>
          <t>MTG-2 generator CT / VT secondaries to the protection</t>
        </is>
      </c>
      <c r="E4314" s="12" t="inlineStr">
        <is>
          <t>MTG-2</t>
        </is>
      </c>
      <c r="F4314" s="12" t="inlineStr">
        <is>
          <t xml:space="preserve">MTG-2: mid-size industrial gas-turbine generator package ~16 MW, 13.8 </t>
        </is>
      </c>
      <c r="G4314" s="12" t="inlineStr">
        <is>
          <t>MTG-SWG</t>
        </is>
      </c>
      <c r="H4314" s="12" t="inlineStr">
        <is>
          <t>MTG-SWG: 13.8 kV switchgear e-house (2 generator breakers, site feeder</t>
        </is>
      </c>
      <c r="I4314" s="12" t="inlineStr">
        <is>
          <t>Control</t>
        </is>
      </c>
      <c r="J4314" s="12" t="inlineStr">
        <is>
          <t>Control cable 600 V Type TC-ER, Cu #10 AWG (CT / VT circuits)</t>
        </is>
      </c>
      <c r="K4314" s="12" t="inlineStr">
        <is>
          <t>CTCT|12/C|10</t>
        </is>
      </c>
      <c r="L4314" s="12" t="inlineStr">
        <is>
          <t>12/C</t>
        </is>
      </c>
      <c r="M4314" s="12" t="inlineStr">
        <is>
          <t>10</t>
        </is>
      </c>
      <c r="N4314" s="12" t="n">
        <v>1</v>
      </c>
      <c r="O4314" s="12" t="n">
        <v>1</v>
      </c>
      <c r="P4314" s="12" t="n"/>
      <c r="Q4314" s="12" t="n"/>
      <c r="R4314" s="12" t="n"/>
      <c r="S4314" s="12" t="inlineStr">
        <is>
          <t>Duct bank</t>
        </is>
      </c>
      <c r="T4314" s="15" t="n">
        <v>9</v>
      </c>
      <c r="U4314" s="15" t="n">
        <v>32</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I-C-0074</t>
        </is>
      </c>
      <c r="B4315" s="12" t="inlineStr">
        <is>
          <t>I</t>
        </is>
      </c>
      <c r="C4315" s="12" t="inlineStr">
        <is>
          <t>Modular / portable power</t>
        </is>
      </c>
      <c r="D4315" s="12" t="inlineStr">
        <is>
          <t>PAD-GSU protection / trip / cooling control</t>
        </is>
      </c>
      <c r="E4315" s="12" t="inlineStr">
        <is>
          <t>PAD-EH</t>
        </is>
      </c>
      <c r="F4315" s="12" t="inlineStr">
        <is>
          <t>PAD-EH 13.8 kV switchgear e-house</t>
        </is>
      </c>
      <c r="G4315" s="12" t="inlineStr">
        <is>
          <t>PAD-GSU</t>
        </is>
      </c>
      <c r="H4315" s="12" t="inlineStr">
        <is>
          <t>PAD-GSU: 13.8 / 34.5 kV step-up, ~60 MVA (PAD-EH: TM-1, CHP site, MT-T</t>
        </is>
      </c>
      <c r="I4315" s="12" t="inlineStr">
        <is>
          <t>Control</t>
        </is>
      </c>
      <c r="J4315" s="12" t="inlineStr">
        <is>
          <t>Control cable 600 V Type TC-ER, Cu #14 AWG, PVC jacket</t>
        </is>
      </c>
      <c r="K4315" s="12" t="inlineStr">
        <is>
          <t>CT|12/C|14</t>
        </is>
      </c>
      <c r="L4315" s="12" t="inlineStr">
        <is>
          <t>12/C</t>
        </is>
      </c>
      <c r="M4315" s="12" t="inlineStr">
        <is>
          <t>14</t>
        </is>
      </c>
      <c r="N4315" s="12" t="n">
        <v>1</v>
      </c>
      <c r="O4315" s="12" t="n">
        <v>1</v>
      </c>
      <c r="P4315" s="12" t="n"/>
      <c r="Q4315" s="12" t="n"/>
      <c r="R4315" s="12" t="n"/>
      <c r="S4315" s="12" t="inlineStr">
        <is>
          <t>Duct bank</t>
        </is>
      </c>
      <c r="T4315" s="15" t="n">
        <v>44</v>
      </c>
      <c r="U4315" s="15" t="n">
        <v>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I-C-0075</t>
        </is>
      </c>
      <c r="B4316" s="12" t="inlineStr">
        <is>
          <t>I</t>
        </is>
      </c>
      <c r="C4316" s="12" t="inlineStr">
        <is>
          <t>Modular / portable power</t>
        </is>
      </c>
      <c r="D4316" s="12" t="inlineStr">
        <is>
          <t>Control</t>
        </is>
      </c>
      <c r="E4316" s="12" t="inlineStr"/>
      <c r="F4316" s="12" t="inlineStr">
        <is>
          <t>PCM: power control module</t>
        </is>
      </c>
      <c r="G4316" s="12" t="inlineStr"/>
      <c r="H4316" s="12" t="inlineStr">
        <is>
          <t>PCM: power control module</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5" t="n">
        <v>0</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I-C-0076</t>
        </is>
      </c>
      <c r="B4317" s="12" t="inlineStr">
        <is>
          <t>I</t>
        </is>
      </c>
      <c r="C4317" s="12" t="inlineStr">
        <is>
          <t>Modular / portable power</t>
        </is>
      </c>
      <c r="D4317" s="12" t="inlineStr">
        <is>
          <t>PGS-1 control / sync</t>
        </is>
      </c>
      <c r="E4317" s="12" t="inlineStr">
        <is>
          <t>PGS-SWG</t>
        </is>
      </c>
      <c r="F4317" s="12" t="inlineStr">
        <is>
          <t>PGS-SWG: 480 V paralleling switchgear (8 generator breakers, 2 transfo</t>
        </is>
      </c>
      <c r="G4317" s="12" t="inlineStr">
        <is>
          <t>PGS-1</t>
        </is>
      </c>
      <c r="H4317" s="12" t="inlineStr">
        <is>
          <t>PGS-1: enclosed gas genset 1 MW, 480 V (paralleled, unit 1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Riser</t>
        </is>
      </c>
      <c r="T4317" s="15" t="n">
        <v>4</v>
      </c>
      <c r="U4317" s="15" t="n">
        <v>27</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I-C-0077</t>
        </is>
      </c>
      <c r="B4318" s="12" t="inlineStr">
        <is>
          <t>I</t>
        </is>
      </c>
      <c r="C4318" s="12" t="inlineStr">
        <is>
          <t>Modular / portable power</t>
        </is>
      </c>
      <c r="D4318" s="12" t="inlineStr">
        <is>
          <t>PGS-2 control / sync</t>
        </is>
      </c>
      <c r="E4318" s="12" t="inlineStr">
        <is>
          <t>PGS-SWG</t>
        </is>
      </c>
      <c r="F4318" s="12" t="inlineStr">
        <is>
          <t>PGS-SWG: 480 V paralleling switchgear (8 generator breakers, 2 transfo</t>
        </is>
      </c>
      <c r="G4318" s="12" t="inlineStr">
        <is>
          <t>PGS-2</t>
        </is>
      </c>
      <c r="H4318" s="12" t="inlineStr">
        <is>
          <t>PGS-2: enclosed gas genset 1 MW, 480 V (paralleled, unit 2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Riser</t>
        </is>
      </c>
      <c r="T4318" s="15" t="n">
        <v>4</v>
      </c>
      <c r="U4318" s="15" t="n">
        <v>27</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I-C-0078</t>
        </is>
      </c>
      <c r="B4319" s="12" t="inlineStr">
        <is>
          <t>I</t>
        </is>
      </c>
      <c r="C4319" s="12" t="inlineStr">
        <is>
          <t>Modular / portable power</t>
        </is>
      </c>
      <c r="D4319" s="12" t="inlineStr">
        <is>
          <t>PGS-3 control / sync</t>
        </is>
      </c>
      <c r="E4319" s="12" t="inlineStr">
        <is>
          <t>PGS-SWG</t>
        </is>
      </c>
      <c r="F4319" s="12" t="inlineStr">
        <is>
          <t>PGS-SWG: 480 V paralleling switchgear (8 generator breakers, 2 transfo</t>
        </is>
      </c>
      <c r="G4319" s="12" t="inlineStr">
        <is>
          <t>PGS-3</t>
        </is>
      </c>
      <c r="H4319" s="12" t="inlineStr">
        <is>
          <t>PGS-3: enclosed gas genset 1 MW, 480 V (paralleled, unit 3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Riser</t>
        </is>
      </c>
      <c r="T4319" s="15" t="n">
        <v>4</v>
      </c>
      <c r="U4319" s="15" t="n">
        <v>27</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I-C-0079</t>
        </is>
      </c>
      <c r="B4320" s="12" t="inlineStr">
        <is>
          <t>I</t>
        </is>
      </c>
      <c r="C4320" s="12" t="inlineStr">
        <is>
          <t>Modular / portable power</t>
        </is>
      </c>
      <c r="D4320" s="12" t="inlineStr">
        <is>
          <t>PGS-4 control / sync</t>
        </is>
      </c>
      <c r="E4320" s="12" t="inlineStr">
        <is>
          <t>PGS-SWG</t>
        </is>
      </c>
      <c r="F4320" s="12" t="inlineStr">
        <is>
          <t>PGS-SWG: 480 V paralleling switchgear (8 generator breakers, 2 transfo</t>
        </is>
      </c>
      <c r="G4320" s="12" t="inlineStr">
        <is>
          <t>PGS-4</t>
        </is>
      </c>
      <c r="H4320" s="12" t="inlineStr">
        <is>
          <t>PGS-4: enclosed gas genset 1 MW, 480 V (paralleled, unit 4 of 8)</t>
        </is>
      </c>
      <c r="I4320" s="12" t="inlineStr">
        <is>
          <t>Control</t>
        </is>
      </c>
      <c r="J4320" s="12" t="inlineStr">
        <is>
          <t>ARMOR-X MC-HL 600 V control, Cu #14 AWG (Class I Div 2)</t>
        </is>
      </c>
      <c r="K4320" s="12" t="inlineStr">
        <is>
          <t>CTAX|12/C|14</t>
        </is>
      </c>
      <c r="L4320" s="12" t="inlineStr">
        <is>
          <t>12/C</t>
        </is>
      </c>
      <c r="M4320" s="12" t="inlineStr">
        <is>
          <t>14</t>
        </is>
      </c>
      <c r="N4320" s="12" t="n">
        <v>1</v>
      </c>
      <c r="O4320" s="12" t="n">
        <v>1</v>
      </c>
      <c r="P4320" s="12" t="n"/>
      <c r="Q4320" s="12" t="n"/>
      <c r="R4320" s="12" t="n"/>
      <c r="S4320" s="12" t="inlineStr">
        <is>
          <t>Riser</t>
        </is>
      </c>
      <c r="T4320" s="15" t="n">
        <v>4</v>
      </c>
      <c r="U4320" s="15" t="n">
        <v>27</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I-C-0080</t>
        </is>
      </c>
      <c r="B4321" s="12" t="inlineStr">
        <is>
          <t>I</t>
        </is>
      </c>
      <c r="C4321" s="12" t="inlineStr">
        <is>
          <t>Modular / portable power</t>
        </is>
      </c>
      <c r="D4321" s="12" t="inlineStr">
        <is>
          <t>PGS-5 control / sync</t>
        </is>
      </c>
      <c r="E4321" s="12" t="inlineStr">
        <is>
          <t>PGS-SWG</t>
        </is>
      </c>
      <c r="F4321" s="12" t="inlineStr">
        <is>
          <t>PGS-SWG: 480 V paralleling switchgear (8 generator breakers, 2 transfo</t>
        </is>
      </c>
      <c r="G4321" s="12" t="inlineStr">
        <is>
          <t>PGS-5</t>
        </is>
      </c>
      <c r="H4321" s="12" t="inlineStr">
        <is>
          <t>PGS-5: enclosed gas genset 1 MW, 480 V (paralleled, unit 5 of 8)</t>
        </is>
      </c>
      <c r="I4321" s="12" t="inlineStr">
        <is>
          <t>Control</t>
        </is>
      </c>
      <c r="J4321" s="12" t="inlineStr">
        <is>
          <t>ARMOR-X MC-HL 600 V control, Cu #14 AWG (Class I Div 2)</t>
        </is>
      </c>
      <c r="K4321" s="12" t="inlineStr">
        <is>
          <t>CTAX|12/C|14</t>
        </is>
      </c>
      <c r="L4321" s="12" t="inlineStr">
        <is>
          <t>12/C</t>
        </is>
      </c>
      <c r="M4321" s="12" t="inlineStr">
        <is>
          <t>14</t>
        </is>
      </c>
      <c r="N4321" s="12" t="n">
        <v>1</v>
      </c>
      <c r="O4321" s="12" t="n">
        <v>1</v>
      </c>
      <c r="P4321" s="12" t="n"/>
      <c r="Q4321" s="12" t="n"/>
      <c r="R4321" s="12" t="n"/>
      <c r="S4321" s="12" t="inlineStr">
        <is>
          <t>Duct bank</t>
        </is>
      </c>
      <c r="T4321" s="15" t="n">
        <v>16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I-C-0081</t>
        </is>
      </c>
      <c r="B4322" s="12" t="inlineStr">
        <is>
          <t>I</t>
        </is>
      </c>
      <c r="C4322" s="12" t="inlineStr">
        <is>
          <t>Modular / portable power</t>
        </is>
      </c>
      <c r="D4322" s="12" t="inlineStr">
        <is>
          <t>PGS-6 control / sync</t>
        </is>
      </c>
      <c r="E4322" s="12" t="inlineStr">
        <is>
          <t>PGS-SWG</t>
        </is>
      </c>
      <c r="F4322" s="12" t="inlineStr">
        <is>
          <t>PGS-SWG: 480 V paralleling switchgear (8 generator breakers, 2 transfo</t>
        </is>
      </c>
      <c r="G4322" s="12" t="inlineStr">
        <is>
          <t>PGS-6</t>
        </is>
      </c>
      <c r="H4322" s="12" t="inlineStr">
        <is>
          <t>PGS-6: enclosed gas genset 1 MW, 480 V (paralleled, unit 6 of 8)</t>
        </is>
      </c>
      <c r="I4322" s="12" t="inlineStr">
        <is>
          <t>Control</t>
        </is>
      </c>
      <c r="J4322" s="12" t="inlineStr">
        <is>
          <t>ARMOR-X MC-HL 600 V control, Cu #14 AWG (Class I Div 2)</t>
        </is>
      </c>
      <c r="K4322" s="12" t="inlineStr">
        <is>
          <t>CTAX|12/C|14</t>
        </is>
      </c>
      <c r="L4322" s="12" t="inlineStr">
        <is>
          <t>12/C</t>
        </is>
      </c>
      <c r="M4322" s="12" t="inlineStr">
        <is>
          <t>14</t>
        </is>
      </c>
      <c r="N4322" s="12" t="n">
        <v>1</v>
      </c>
      <c r="O4322" s="12" t="n">
        <v>1</v>
      </c>
      <c r="P4322" s="12" t="n"/>
      <c r="Q4322" s="12" t="n"/>
      <c r="R4322" s="12" t="n"/>
      <c r="S4322" s="12" t="inlineStr">
        <is>
          <t>Duct bank</t>
        </is>
      </c>
      <c r="T4322" s="15" t="n">
        <v>28</v>
      </c>
      <c r="U4322" s="15" t="n">
        <v>32</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I-C-0082</t>
        </is>
      </c>
      <c r="B4323" s="12" t="inlineStr">
        <is>
          <t>I</t>
        </is>
      </c>
      <c r="C4323" s="12" t="inlineStr">
        <is>
          <t>Modular / portable power</t>
        </is>
      </c>
      <c r="D4323" s="12" t="inlineStr">
        <is>
          <t>PGS-7 control / sync</t>
        </is>
      </c>
      <c r="E4323" s="12" t="inlineStr">
        <is>
          <t>PGS-SWG</t>
        </is>
      </c>
      <c r="F4323" s="12" t="inlineStr">
        <is>
          <t>PGS-SWG: 480 V paralleling switchgear (8 generator breakers, 2 transfo</t>
        </is>
      </c>
      <c r="G4323" s="12" t="inlineStr">
        <is>
          <t>PGS-7</t>
        </is>
      </c>
      <c r="H4323" s="12" t="inlineStr">
        <is>
          <t>PGS-7: enclosed gas genset 1 MW, 480 V (paralleled, unit 7 of 8)</t>
        </is>
      </c>
      <c r="I4323" s="12" t="inlineStr">
        <is>
          <t>Control</t>
        </is>
      </c>
      <c r="J4323" s="12" t="inlineStr">
        <is>
          <t>ARMOR-X MC-HL 600 V control, Cu #14 AWG (Class I Div 2)</t>
        </is>
      </c>
      <c r="K4323" s="12" t="inlineStr">
        <is>
          <t>CTAX|12/C|14</t>
        </is>
      </c>
      <c r="L4323" s="12" t="inlineStr">
        <is>
          <t>12/C</t>
        </is>
      </c>
      <c r="M4323" s="12" t="inlineStr">
        <is>
          <t>14</t>
        </is>
      </c>
      <c r="N4323" s="12" t="n">
        <v>1</v>
      </c>
      <c r="O4323" s="12" t="n">
        <v>1</v>
      </c>
      <c r="P4323" s="12" t="n"/>
      <c r="Q4323" s="12" t="n"/>
      <c r="R4323" s="12" t="n"/>
      <c r="S4323" s="12" t="inlineStr">
        <is>
          <t>Duct bank</t>
        </is>
      </c>
      <c r="T4323" s="15" t="n">
        <v>40</v>
      </c>
      <c r="U4323" s="15" t="n">
        <v>32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I-C-0083</t>
        </is>
      </c>
      <c r="B4324" s="12" t="inlineStr">
        <is>
          <t>I</t>
        </is>
      </c>
      <c r="C4324" s="12" t="inlineStr">
        <is>
          <t>Modular / portable power</t>
        </is>
      </c>
      <c r="D4324" s="12" t="inlineStr">
        <is>
          <t>PGS-8 control / sync</t>
        </is>
      </c>
      <c r="E4324" s="12" t="inlineStr">
        <is>
          <t>PGS-SWG</t>
        </is>
      </c>
      <c r="F4324" s="12" t="inlineStr">
        <is>
          <t>PGS-SWG: 480 V paralleling switchgear (8 generator breakers, 2 transfo</t>
        </is>
      </c>
      <c r="G4324" s="12" t="inlineStr">
        <is>
          <t>PGS-8</t>
        </is>
      </c>
      <c r="H4324" s="12" t="inlineStr">
        <is>
          <t>PGS-8: enclosed gas genset 1 MW, 480 V (paralleled, unit 8 of 8)</t>
        </is>
      </c>
      <c r="I4324" s="12" t="inlineStr">
        <is>
          <t>Control</t>
        </is>
      </c>
      <c r="J4324" s="12" t="inlineStr">
        <is>
          <t>ARMOR-X MC-HL 600 V control, Cu #14 AWG (Class I Div 2)</t>
        </is>
      </c>
      <c r="K4324" s="12" t="inlineStr">
        <is>
          <t>CTAX|12/C|14</t>
        </is>
      </c>
      <c r="L4324" s="12" t="inlineStr">
        <is>
          <t>12/C</t>
        </is>
      </c>
      <c r="M4324" s="12" t="inlineStr">
        <is>
          <t>14</t>
        </is>
      </c>
      <c r="N4324" s="12" t="n">
        <v>1</v>
      </c>
      <c r="O4324" s="12" t="n">
        <v>1</v>
      </c>
      <c r="P4324" s="12" t="n"/>
      <c r="Q4324" s="12" t="n"/>
      <c r="R4324" s="12" t="n"/>
      <c r="S4324" s="12" t="inlineStr">
        <is>
          <t>Duct bank</t>
        </is>
      </c>
      <c r="T4324" s="15" t="n">
        <v>52</v>
      </c>
      <c r="U4324" s="15" t="n">
        <v>32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I-C-0084</t>
        </is>
      </c>
      <c r="B4325" s="12" t="inlineStr">
        <is>
          <t>I</t>
        </is>
      </c>
      <c r="C4325" s="12" t="inlineStr">
        <is>
          <t>Modular / portable power</t>
        </is>
      </c>
      <c r="D4325" s="12" t="inlineStr">
        <is>
          <t>PGS-TX1 protection / trip / cooling control</t>
        </is>
      </c>
      <c r="E4325" s="12" t="inlineStr">
        <is>
          <t>PGS-SWG</t>
        </is>
      </c>
      <c r="F4325" s="12" t="inlineStr">
        <is>
          <t>PGS-SWG: 480 V paralleling switchgear (8 generator breakers, 2 transfo</t>
        </is>
      </c>
      <c r="G4325" s="12" t="inlineStr">
        <is>
          <t>PGS-TX1</t>
        </is>
      </c>
      <c r="H4325" s="12" t="inlineStr">
        <is>
          <t>PGS-TX1: 480 V : 34.5 kV, ~5 MVA loop-feed pad-mount (gensets 1-4)</t>
        </is>
      </c>
      <c r="I4325" s="12" t="inlineStr">
        <is>
          <t>Control</t>
        </is>
      </c>
      <c r="J4325" s="12" t="inlineStr">
        <is>
          <t>Control cable 600 V Type TC-ER, Cu #14 AWG, PVC jacket</t>
        </is>
      </c>
      <c r="K4325" s="12" t="inlineStr">
        <is>
          <t>CT|12/C|14</t>
        </is>
      </c>
      <c r="L4325" s="12" t="inlineStr">
        <is>
          <t>12/C</t>
        </is>
      </c>
      <c r="M4325" s="12" t="inlineStr">
        <is>
          <t>14</t>
        </is>
      </c>
      <c r="N4325" s="12" t="n">
        <v>1</v>
      </c>
      <c r="O4325" s="12" t="n">
        <v>1</v>
      </c>
      <c r="P4325" s="12" t="n"/>
      <c r="Q4325" s="12" t="n"/>
      <c r="R4325" s="12" t="n"/>
      <c r="S4325" s="12" t="inlineStr">
        <is>
          <t>Surface</t>
        </is>
      </c>
      <c r="T4325" s="15" t="n">
        <v>75</v>
      </c>
      <c r="U4325" s="15" t="n">
        <v>32</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I-C-0085</t>
        </is>
      </c>
      <c r="B4326" s="12" t="inlineStr">
        <is>
          <t>I</t>
        </is>
      </c>
      <c r="C4326" s="12" t="inlineStr">
        <is>
          <t>Modular / portable power</t>
        </is>
      </c>
      <c r="D4326" s="12" t="inlineStr">
        <is>
          <t>PGS-TX2 protection / trip / cooling control</t>
        </is>
      </c>
      <c r="E4326" s="12" t="inlineStr">
        <is>
          <t>PGS-SWG</t>
        </is>
      </c>
      <c r="F4326" s="12" t="inlineStr">
        <is>
          <t>PGS-SWG: 480 V paralleling switchgear (8 generator breakers, 2 transfo</t>
        </is>
      </c>
      <c r="G4326" s="12" t="inlineStr">
        <is>
          <t>PGS-TX2</t>
        </is>
      </c>
      <c r="H4326" s="12" t="inlineStr">
        <is>
          <t>PGS-TX2: 480 V : 34.5 kV, ~5 MVA loop-feed pad-mount (gensets 5-8)</t>
        </is>
      </c>
      <c r="I4326" s="12" t="inlineStr">
        <is>
          <t>Control</t>
        </is>
      </c>
      <c r="J4326" s="12" t="inlineStr">
        <is>
          <t>Control cable 600 V Type TC-ER, Cu #14 AWG, PVC jacket</t>
        </is>
      </c>
      <c r="K4326" s="12" t="inlineStr">
        <is>
          <t>CT|12/C|14</t>
        </is>
      </c>
      <c r="L4326" s="12" t="inlineStr">
        <is>
          <t>12/C</t>
        </is>
      </c>
      <c r="M4326" s="12" t="inlineStr">
        <is>
          <t>14</t>
        </is>
      </c>
      <c r="N4326" s="12" t="n">
        <v>1</v>
      </c>
      <c r="O4326" s="12" t="n">
        <v>1</v>
      </c>
      <c r="P4326" s="12" t="n"/>
      <c r="Q4326" s="12" t="n"/>
      <c r="R4326" s="12" t="n"/>
      <c r="S4326" s="12" t="inlineStr">
        <is>
          <t>Surface</t>
        </is>
      </c>
      <c r="T4326" s="15" t="n">
        <v>46</v>
      </c>
      <c r="U4326" s="15" t="n">
        <v>32</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I-C-0086</t>
        </is>
      </c>
      <c r="B4327" s="12" t="inlineStr">
        <is>
          <t>I</t>
        </is>
      </c>
      <c r="C4327" s="12" t="inlineStr">
        <is>
          <t>Modular / portable power</t>
        </is>
      </c>
      <c r="D4327" s="12" t="inlineStr">
        <is>
          <t>PK-GT1 protection / trip / cooling control</t>
        </is>
      </c>
      <c r="E4327" s="12" t="inlineStr">
        <is>
          <t>SWG-PK</t>
        </is>
      </c>
      <c r="F4327" s="12" t="inlineStr">
        <is>
          <t>SWG-PK: 34.5 kV park collector switchgear (2 bus sections, tie; 8 feed</t>
        </is>
      </c>
      <c r="G4327" s="12" t="inlineStr">
        <is>
          <t>PK-GT1</t>
        </is>
      </c>
      <c r="H4327" s="12" t="inlineStr">
        <is>
          <t>PK-GT1: 34.5 kV zigzag grounding transformer, SWG-PK bus A</t>
        </is>
      </c>
      <c r="I4327" s="12" t="inlineStr">
        <is>
          <t>Control</t>
        </is>
      </c>
      <c r="J4327" s="12" t="inlineStr">
        <is>
          <t>Control cable 600 V Type TC-ER, Cu #14 AWG, PVC jacket</t>
        </is>
      </c>
      <c r="K4327" s="12" t="inlineStr">
        <is>
          <t>CT|12/C|14</t>
        </is>
      </c>
      <c r="L4327" s="12" t="inlineStr">
        <is>
          <t>12/C</t>
        </is>
      </c>
      <c r="M4327" s="12" t="inlineStr">
        <is>
          <t>14</t>
        </is>
      </c>
      <c r="N4327" s="12" t="n">
        <v>1</v>
      </c>
      <c r="O4327" s="12" t="n">
        <v>1</v>
      </c>
      <c r="P4327" s="12" t="n"/>
      <c r="Q4327" s="12" t="n"/>
      <c r="R4327" s="12" t="n"/>
      <c r="S4327" s="12" t="inlineStr">
        <is>
          <t>Duct bank</t>
        </is>
      </c>
      <c r="T4327" s="15" t="n">
        <v>60</v>
      </c>
      <c r="U4327" s="15" t="n">
        <v>38</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I-C-0087</t>
        </is>
      </c>
      <c r="B4328" s="12" t="inlineStr">
        <is>
          <t>I</t>
        </is>
      </c>
      <c r="C4328" s="12" t="inlineStr">
        <is>
          <t>Modular / portable power</t>
        </is>
      </c>
      <c r="D4328" s="12" t="inlineStr">
        <is>
          <t>PK-GT2 protection / trip / cooling control</t>
        </is>
      </c>
      <c r="E4328" s="12" t="inlineStr">
        <is>
          <t>SWG-PK</t>
        </is>
      </c>
      <c r="F4328" s="12" t="inlineStr">
        <is>
          <t>SWG-PK: 34.5 kV park collector switchgear (2 bus sections, tie; 8 feed</t>
        </is>
      </c>
      <c r="G4328" s="12" t="inlineStr">
        <is>
          <t>PK-GT2</t>
        </is>
      </c>
      <c r="H4328" s="12" t="inlineStr">
        <is>
          <t>PK-GT2: 34.5 kV zigzag grounding transformer, SWG-PK bus B</t>
        </is>
      </c>
      <c r="I4328" s="12" t="inlineStr">
        <is>
          <t>Control</t>
        </is>
      </c>
      <c r="J4328" s="12" t="inlineStr">
        <is>
          <t>Control cable 600 V Type TC-ER, Cu #14 AWG, PVC jacket</t>
        </is>
      </c>
      <c r="K4328" s="12" t="inlineStr">
        <is>
          <t>CT|12/C|14</t>
        </is>
      </c>
      <c r="L4328" s="12" t="inlineStr">
        <is>
          <t>12/C</t>
        </is>
      </c>
      <c r="M4328" s="12" t="inlineStr">
        <is>
          <t>14</t>
        </is>
      </c>
      <c r="N4328" s="12" t="n">
        <v>1</v>
      </c>
      <c r="O4328" s="12" t="n">
        <v>1</v>
      </c>
      <c r="P4328" s="12" t="n"/>
      <c r="Q4328" s="12" t="n"/>
      <c r="R4328" s="12" t="n"/>
      <c r="S4328" s="12" t="inlineStr">
        <is>
          <t>Duct bank</t>
        </is>
      </c>
      <c r="T4328" s="15" t="n">
        <v>72</v>
      </c>
      <c r="U4328" s="15" t="n">
        <v>42</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I-C-0088</t>
        </is>
      </c>
      <c r="B4329" s="12" t="inlineStr">
        <is>
          <t>I</t>
        </is>
      </c>
      <c r="C4329" s="12" t="inlineStr">
        <is>
          <t>Modular / portable power</t>
        </is>
      </c>
      <c r="D4329" s="12" t="inlineStr">
        <is>
          <t>Motor 1 of 1: control / local station</t>
        </is>
      </c>
      <c r="E4329" s="12" t="inlineStr"/>
      <c r="F4329" s="12" t="inlineStr">
        <is>
          <t>PCM: power control module</t>
        </is>
      </c>
      <c r="G4329" s="12" t="inlineStr"/>
      <c r="H4329" s="12" t="inlineStr">
        <is>
          <t>RICE 1 SCR + oxidation catalyst and stack</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436</v>
      </c>
      <c r="U4329" s="15" t="n">
        <v>160</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I-C-0089</t>
        </is>
      </c>
      <c r="B4330" s="12" t="inlineStr">
        <is>
          <t>I</t>
        </is>
      </c>
      <c r="C4330" s="12" t="inlineStr">
        <is>
          <t>Modular / portable power</t>
        </is>
      </c>
      <c r="D4330" s="12" t="inlineStr">
        <is>
          <t>Motor 1 of 5: control / local station</t>
        </is>
      </c>
      <c r="E4330" s="12" t="inlineStr"/>
      <c r="F4330" s="12" t="inlineStr">
        <is>
          <t>PCM: power control module</t>
        </is>
      </c>
      <c r="G4330" s="12" t="inlineStr"/>
      <c r="H4330" s="12" t="inlineStr">
        <is>
          <t>RICE 1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711</v>
      </c>
      <c r="U4330" s="15" t="n">
        <v>139</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I-C-0090</t>
        </is>
      </c>
      <c r="B4331" s="12" t="inlineStr">
        <is>
          <t>I</t>
        </is>
      </c>
      <c r="C4331" s="12" t="inlineStr">
        <is>
          <t>Modular / portable power</t>
        </is>
      </c>
      <c r="D4331" s="12" t="inlineStr">
        <is>
          <t>Motor 2 of 5: control / local station</t>
        </is>
      </c>
      <c r="E4331" s="12" t="inlineStr"/>
      <c r="F4331" s="12" t="inlineStr">
        <is>
          <t>PCM: power control module</t>
        </is>
      </c>
      <c r="G4331" s="12" t="inlineStr"/>
      <c r="H4331" s="12" t="inlineStr">
        <is>
          <t>RICE 1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711</v>
      </c>
      <c r="U4331" s="15" t="n">
        <v>139</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I-C-0091</t>
        </is>
      </c>
      <c r="B4332" s="12" t="inlineStr">
        <is>
          <t>I</t>
        </is>
      </c>
      <c r="C4332" s="12" t="inlineStr">
        <is>
          <t>Modular / portable power</t>
        </is>
      </c>
      <c r="D4332" s="12" t="inlineStr">
        <is>
          <t>Motor 3 of 5: control / local station</t>
        </is>
      </c>
      <c r="E4332" s="12" t="inlineStr"/>
      <c r="F4332" s="12" t="inlineStr">
        <is>
          <t>PCM: power control module</t>
        </is>
      </c>
      <c r="G4332" s="12" t="inlineStr"/>
      <c r="H4332" s="12" t="inlineStr">
        <is>
          <t>RICE 1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711</v>
      </c>
      <c r="U4332" s="15" t="n">
        <v>139</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I-C-0092</t>
        </is>
      </c>
      <c r="B4333" s="12" t="inlineStr">
        <is>
          <t>I</t>
        </is>
      </c>
      <c r="C4333" s="12" t="inlineStr">
        <is>
          <t>Modular / portable power</t>
        </is>
      </c>
      <c r="D4333" s="12" t="inlineStr">
        <is>
          <t>Motor 4 of 5: control / local station</t>
        </is>
      </c>
      <c r="E4333" s="12" t="inlineStr"/>
      <c r="F4333" s="12" t="inlineStr">
        <is>
          <t>PCM: power control module</t>
        </is>
      </c>
      <c r="G4333" s="12" t="inlineStr"/>
      <c r="H4333" s="12" t="inlineStr">
        <is>
          <t>RICE 1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711</v>
      </c>
      <c r="U4333" s="15" t="n">
        <v>139</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I-C-0093</t>
        </is>
      </c>
      <c r="B4334" s="12" t="inlineStr">
        <is>
          <t>I</t>
        </is>
      </c>
      <c r="C4334" s="12" t="inlineStr">
        <is>
          <t>Modular / portable power</t>
        </is>
      </c>
      <c r="D4334" s="12" t="inlineStr">
        <is>
          <t>Motor 5 of 5: control / local station</t>
        </is>
      </c>
      <c r="E4334" s="12" t="inlineStr"/>
      <c r="F4334" s="12" t="inlineStr">
        <is>
          <t>PCM: power control module</t>
        </is>
      </c>
      <c r="G4334" s="12" t="inlineStr"/>
      <c r="H4334" s="12" t="inlineStr">
        <is>
          <t>RICE 1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711</v>
      </c>
      <c r="U4334" s="15" t="n">
        <v>139</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I-C-0094</t>
        </is>
      </c>
      <c r="B4335" s="12" t="inlineStr">
        <is>
          <t>I</t>
        </is>
      </c>
      <c r="C4335" s="12" t="inlineStr">
        <is>
          <t>Modular / portable power</t>
        </is>
      </c>
      <c r="D4335" s="12" t="inlineStr">
        <is>
          <t>Motor 1 of 1: control / local station</t>
        </is>
      </c>
      <c r="E4335" s="12" t="inlineStr"/>
      <c r="F4335" s="12" t="inlineStr">
        <is>
          <t>PCM: power control module</t>
        </is>
      </c>
      <c r="G4335" s="12" t="inlineStr"/>
      <c r="H4335" s="12" t="inlineStr">
        <is>
          <t>RICE 2 SCR + oxidation catalyst and stack</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436</v>
      </c>
      <c r="U4335" s="15" t="n">
        <v>132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I-C-0095</t>
        </is>
      </c>
      <c r="B4336" s="12" t="inlineStr">
        <is>
          <t>I</t>
        </is>
      </c>
      <c r="C4336" s="12" t="inlineStr">
        <is>
          <t>Modular / portable power</t>
        </is>
      </c>
      <c r="D4336" s="12" t="inlineStr">
        <is>
          <t>Motor 1 of 5: control / local station</t>
        </is>
      </c>
      <c r="E4336" s="12" t="inlineStr"/>
      <c r="F4336" s="12" t="inlineStr">
        <is>
          <t>PCM: power control module</t>
        </is>
      </c>
      <c r="G4336" s="12" t="inlineStr"/>
      <c r="H4336" s="12" t="inlineStr">
        <is>
          <t>RICE 2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516</v>
      </c>
      <c r="U4336" s="15" t="n">
        <v>192</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I-C-0096</t>
        </is>
      </c>
      <c r="B4337" s="12" t="inlineStr">
        <is>
          <t>I</t>
        </is>
      </c>
      <c r="C4337" s="12" t="inlineStr">
        <is>
          <t>Modular / portable power</t>
        </is>
      </c>
      <c r="D4337" s="12" t="inlineStr">
        <is>
          <t>Motor 2 of 5: control / local station</t>
        </is>
      </c>
      <c r="E4337" s="12" t="inlineStr"/>
      <c r="F4337" s="12" t="inlineStr">
        <is>
          <t>PCM: power control module</t>
        </is>
      </c>
      <c r="G4337" s="12" t="inlineStr"/>
      <c r="H4337" s="12" t="inlineStr">
        <is>
          <t>RICE 2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516</v>
      </c>
      <c r="U4337" s="15" t="n">
        <v>192</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I-C-0097</t>
        </is>
      </c>
      <c r="B4338" s="12" t="inlineStr">
        <is>
          <t>I</t>
        </is>
      </c>
      <c r="C4338" s="12" t="inlineStr">
        <is>
          <t>Modular / portable power</t>
        </is>
      </c>
      <c r="D4338" s="12" t="inlineStr">
        <is>
          <t>Motor 3 of 5: control / local station</t>
        </is>
      </c>
      <c r="E4338" s="12" t="inlineStr"/>
      <c r="F4338" s="12" t="inlineStr">
        <is>
          <t>PCM: power control module</t>
        </is>
      </c>
      <c r="G4338" s="12" t="inlineStr"/>
      <c r="H4338" s="12" t="inlineStr">
        <is>
          <t>RICE 2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516</v>
      </c>
      <c r="U4338" s="15" t="n">
        <v>192</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I-C-0098</t>
        </is>
      </c>
      <c r="B4339" s="12" t="inlineStr">
        <is>
          <t>I</t>
        </is>
      </c>
      <c r="C4339" s="12" t="inlineStr">
        <is>
          <t>Modular / portable power</t>
        </is>
      </c>
      <c r="D4339" s="12" t="inlineStr">
        <is>
          <t>Motor 4 of 5: control / local station</t>
        </is>
      </c>
      <c r="E4339" s="12" t="inlineStr"/>
      <c r="F4339" s="12" t="inlineStr">
        <is>
          <t>PCM: power control module</t>
        </is>
      </c>
      <c r="G4339" s="12" t="inlineStr"/>
      <c r="H4339" s="12" t="inlineStr">
        <is>
          <t>RICE 2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516</v>
      </c>
      <c r="U4339" s="15" t="n">
        <v>192</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I-C-0099</t>
        </is>
      </c>
      <c r="B4340" s="12" t="inlineStr">
        <is>
          <t>I</t>
        </is>
      </c>
      <c r="C4340" s="12" t="inlineStr">
        <is>
          <t>Modular / portable power</t>
        </is>
      </c>
      <c r="D4340" s="12" t="inlineStr">
        <is>
          <t>Motor 5 of 5: control / local station</t>
        </is>
      </c>
      <c r="E4340" s="12" t="inlineStr"/>
      <c r="F4340" s="12" t="inlineStr">
        <is>
          <t>PCM: power control module</t>
        </is>
      </c>
      <c r="G4340" s="12" t="inlineStr"/>
      <c r="H4340" s="12" t="inlineStr">
        <is>
          <t>RICE 2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516</v>
      </c>
      <c r="U4340" s="15" t="n">
        <v>192</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I-C-0100</t>
        </is>
      </c>
      <c r="B4341" s="12" t="inlineStr">
        <is>
          <t>I</t>
        </is>
      </c>
      <c r="C4341" s="12" t="inlineStr">
        <is>
          <t>Modular / portable power</t>
        </is>
      </c>
      <c r="D4341" s="12" t="inlineStr">
        <is>
          <t>Motor 1 of 1: control / local station</t>
        </is>
      </c>
      <c r="E4341" s="12" t="inlineStr"/>
      <c r="F4341" s="12" t="inlineStr">
        <is>
          <t>PCM: power control module</t>
        </is>
      </c>
      <c r="G4341" s="12" t="inlineStr"/>
      <c r="H4341" s="12" t="inlineStr">
        <is>
          <t>RICE 3 SCR + oxidation catalyst and stack</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436</v>
      </c>
      <c r="U4341" s="15" t="n">
        <v>104</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I-C-0101</t>
        </is>
      </c>
      <c r="B4342" s="12" t="inlineStr">
        <is>
          <t>I</t>
        </is>
      </c>
      <c r="C4342" s="12" t="inlineStr">
        <is>
          <t>Modular / portable power</t>
        </is>
      </c>
      <c r="D4342" s="12" t="inlineStr">
        <is>
          <t>Motor 1 of 5: control / local station</t>
        </is>
      </c>
      <c r="E4342" s="12" t="inlineStr"/>
      <c r="F4342" s="12" t="inlineStr">
        <is>
          <t>PCM: power control module</t>
        </is>
      </c>
      <c r="G4342" s="12" t="inlineStr"/>
      <c r="H4342" s="12" t="inlineStr">
        <is>
          <t>RICE 3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344</v>
      </c>
      <c r="U4342" s="15" t="n">
        <v>240</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I-C-0102</t>
        </is>
      </c>
      <c r="B4343" s="12" t="inlineStr">
        <is>
          <t>I</t>
        </is>
      </c>
      <c r="C4343" s="12" t="inlineStr">
        <is>
          <t>Modular / portable power</t>
        </is>
      </c>
      <c r="D4343" s="12" t="inlineStr">
        <is>
          <t>Motor 2 of 5: control / local station</t>
        </is>
      </c>
      <c r="E4343" s="12" t="inlineStr"/>
      <c r="F4343" s="12" t="inlineStr">
        <is>
          <t>PCM: power control module</t>
        </is>
      </c>
      <c r="G4343" s="12" t="inlineStr"/>
      <c r="H4343" s="12" t="inlineStr">
        <is>
          <t>RICE 3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5" t="n">
        <v>344</v>
      </c>
      <c r="U4343" s="15" t="n">
        <v>240</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I-C-0103</t>
        </is>
      </c>
      <c r="B4344" s="12" t="inlineStr">
        <is>
          <t>I</t>
        </is>
      </c>
      <c r="C4344" s="12" t="inlineStr">
        <is>
          <t>Modular / portable power</t>
        </is>
      </c>
      <c r="D4344" s="12" t="inlineStr">
        <is>
          <t>Motor 3 of 5: control / local station</t>
        </is>
      </c>
      <c r="E4344" s="12" t="inlineStr"/>
      <c r="F4344" s="12" t="inlineStr">
        <is>
          <t>PCM: power control module</t>
        </is>
      </c>
      <c r="G4344" s="12" t="inlineStr"/>
      <c r="H4344" s="12" t="inlineStr">
        <is>
          <t>RICE 3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5" t="n">
        <v>344</v>
      </c>
      <c r="U4344" s="15" t="n">
        <v>240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I-C-0104</t>
        </is>
      </c>
      <c r="B4345" s="12" t="inlineStr">
        <is>
          <t>I</t>
        </is>
      </c>
      <c r="C4345" s="12" t="inlineStr">
        <is>
          <t>Modular / portable power</t>
        </is>
      </c>
      <c r="D4345" s="12" t="inlineStr">
        <is>
          <t>Motor 4 of 5: control / local station</t>
        </is>
      </c>
      <c r="E4345" s="12" t="inlineStr"/>
      <c r="F4345" s="12" t="inlineStr">
        <is>
          <t>PCM: power control module</t>
        </is>
      </c>
      <c r="G4345" s="12" t="inlineStr"/>
      <c r="H4345" s="12" t="inlineStr">
        <is>
          <t>RICE 3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5" t="n">
        <v>344</v>
      </c>
      <c r="U4345" s="15" t="n">
        <v>240</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I-C-0105</t>
        </is>
      </c>
      <c r="B4346" s="12" t="inlineStr">
        <is>
          <t>I</t>
        </is>
      </c>
      <c r="C4346" s="12" t="inlineStr">
        <is>
          <t>Modular / portable power</t>
        </is>
      </c>
      <c r="D4346" s="12" t="inlineStr">
        <is>
          <t>Motor 5 of 5: control / local station</t>
        </is>
      </c>
      <c r="E4346" s="12" t="inlineStr"/>
      <c r="F4346" s="12" t="inlineStr">
        <is>
          <t>PCM: power control module</t>
        </is>
      </c>
      <c r="G4346" s="12" t="inlineStr"/>
      <c r="H4346" s="12" t="inlineStr">
        <is>
          <t>RICE 3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5" t="n">
        <v>344</v>
      </c>
      <c r="U4346" s="15" t="n">
        <v>240</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I-C-0106</t>
        </is>
      </c>
      <c r="B4347" s="12" t="inlineStr">
        <is>
          <t>I</t>
        </is>
      </c>
      <c r="C4347" s="12" t="inlineStr">
        <is>
          <t>Modular / portable power</t>
        </is>
      </c>
      <c r="D4347" s="12" t="inlineStr">
        <is>
          <t>Motor 1 of 1: control / local station</t>
        </is>
      </c>
      <c r="E4347" s="12" t="inlineStr"/>
      <c r="F4347" s="12" t="inlineStr">
        <is>
          <t>PCM: power control module</t>
        </is>
      </c>
      <c r="G4347" s="12" t="inlineStr"/>
      <c r="H4347" s="12" t="inlineStr">
        <is>
          <t>RICE 4 SCR + oxidation catalyst and stack</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5" t="n">
        <v>436</v>
      </c>
      <c r="U4347" s="15" t="n">
        <v>76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I-C-0107</t>
        </is>
      </c>
      <c r="B4348" s="12" t="inlineStr">
        <is>
          <t>I</t>
        </is>
      </c>
      <c r="C4348" s="12" t="inlineStr">
        <is>
          <t>Modular / portable power</t>
        </is>
      </c>
      <c r="D4348" s="12" t="inlineStr">
        <is>
          <t>Motor 1 of 5: control / local station</t>
        </is>
      </c>
      <c r="E4348" s="12" t="inlineStr"/>
      <c r="F4348" s="12" t="inlineStr">
        <is>
          <t>PCM: power control module</t>
        </is>
      </c>
      <c r="G4348" s="12" t="inlineStr"/>
      <c r="H4348" s="12" t="inlineStr">
        <is>
          <t>RICE 4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5" t="n">
        <v>0</v>
      </c>
      <c r="U4348" s="15" t="n">
        <v>206</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I-C-0108</t>
        </is>
      </c>
      <c r="B4349" s="12" t="inlineStr">
        <is>
          <t>I</t>
        </is>
      </c>
      <c r="C4349" s="12" t="inlineStr">
        <is>
          <t>Modular / portable power</t>
        </is>
      </c>
      <c r="D4349" s="12" t="inlineStr">
        <is>
          <t>Motor 2 of 5: control / local station</t>
        </is>
      </c>
      <c r="E4349" s="12" t="inlineStr"/>
      <c r="F4349" s="12" t="inlineStr">
        <is>
          <t>PCM: power control module</t>
        </is>
      </c>
      <c r="G4349" s="12" t="inlineStr"/>
      <c r="H4349" s="12" t="inlineStr">
        <is>
          <t>RICE 4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206</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I-C-0109</t>
        </is>
      </c>
      <c r="B4350" s="12" t="inlineStr">
        <is>
          <t>I</t>
        </is>
      </c>
      <c r="C4350" s="12" t="inlineStr">
        <is>
          <t>Modular / portable power</t>
        </is>
      </c>
      <c r="D4350" s="12" t="inlineStr">
        <is>
          <t>Motor 3 of 5: control / local station</t>
        </is>
      </c>
      <c r="E4350" s="12" t="inlineStr"/>
      <c r="F4350" s="12" t="inlineStr">
        <is>
          <t>PCM: power control module</t>
        </is>
      </c>
      <c r="G4350" s="12" t="inlineStr"/>
      <c r="H4350" s="12" t="inlineStr">
        <is>
          <t>RICE 4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206</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I-C-0110</t>
        </is>
      </c>
      <c r="B4351" s="12" t="inlineStr">
        <is>
          <t>I</t>
        </is>
      </c>
      <c r="C4351" s="12" t="inlineStr">
        <is>
          <t>Modular / portable power</t>
        </is>
      </c>
      <c r="D4351" s="12" t="inlineStr">
        <is>
          <t>Motor 4 of 5: control / local station</t>
        </is>
      </c>
      <c r="E4351" s="12" t="inlineStr"/>
      <c r="F4351" s="12" t="inlineStr">
        <is>
          <t>PCM: power control module</t>
        </is>
      </c>
      <c r="G4351" s="12" t="inlineStr"/>
      <c r="H4351" s="12" t="inlineStr">
        <is>
          <t>RICE 4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206</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I-C-0111</t>
        </is>
      </c>
      <c r="B4352" s="12" t="inlineStr">
        <is>
          <t>I</t>
        </is>
      </c>
      <c r="C4352" s="12" t="inlineStr">
        <is>
          <t>Modular / portable power</t>
        </is>
      </c>
      <c r="D4352" s="12" t="inlineStr">
        <is>
          <t>Motor 5 of 5: control / local station</t>
        </is>
      </c>
      <c r="E4352" s="12" t="inlineStr"/>
      <c r="F4352" s="12" t="inlineStr">
        <is>
          <t>PCM: power control module</t>
        </is>
      </c>
      <c r="G4352" s="12" t="inlineStr"/>
      <c r="H4352" s="12" t="inlineStr">
        <is>
          <t>RICE 4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206</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I-C-0112</t>
        </is>
      </c>
      <c r="B4353" s="12" t="inlineStr">
        <is>
          <t>I</t>
        </is>
      </c>
      <c r="C4353" s="12" t="inlineStr">
        <is>
          <t>Modular / portable power</t>
        </is>
      </c>
      <c r="D4353" s="12" t="inlineStr">
        <is>
          <t>Motor 1 of 1: control / local station</t>
        </is>
      </c>
      <c r="E4353" s="12" t="inlineStr"/>
      <c r="F4353" s="12" t="inlineStr">
        <is>
          <t>PCM: power control module</t>
        </is>
      </c>
      <c r="G4353" s="12" t="inlineStr"/>
      <c r="H4353" s="12" t="inlineStr">
        <is>
          <t>RICE 5 SCR + oxidation catalyst and stack</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5" t="n">
        <v>158</v>
      </c>
      <c r="U4353" s="15" t="n">
        <v>164</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I-C-0113</t>
        </is>
      </c>
      <c r="B4354" s="12" t="inlineStr">
        <is>
          <t>I</t>
        </is>
      </c>
      <c r="C4354" s="12" t="inlineStr">
        <is>
          <t>Modular / portable power</t>
        </is>
      </c>
      <c r="D4354" s="12" t="inlineStr">
        <is>
          <t>Motor 1 of 5: control / local station</t>
        </is>
      </c>
      <c r="E4354" s="12" t="inlineStr"/>
      <c r="F4354" s="12" t="inlineStr">
        <is>
          <t>PCM: power control module</t>
        </is>
      </c>
      <c r="G4354" s="12" t="inlineStr"/>
      <c r="H4354" s="12" t="inlineStr">
        <is>
          <t>RICE 5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5" t="n">
        <v>0</v>
      </c>
      <c r="U4354" s="15" t="n">
        <v>178</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I-C-0114</t>
        </is>
      </c>
      <c r="B4355" s="12" t="inlineStr">
        <is>
          <t>I</t>
        </is>
      </c>
      <c r="C4355" s="12" t="inlineStr">
        <is>
          <t>Modular / portable power</t>
        </is>
      </c>
      <c r="D4355" s="12" t="inlineStr">
        <is>
          <t>Motor 2 of 5: control / local station</t>
        </is>
      </c>
      <c r="E4355" s="12" t="inlineStr"/>
      <c r="F4355" s="12" t="inlineStr">
        <is>
          <t>PCM: power control module</t>
        </is>
      </c>
      <c r="G4355" s="12" t="inlineStr"/>
      <c r="H4355" s="12" t="inlineStr">
        <is>
          <t>RICE 5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178</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I-C-0115</t>
        </is>
      </c>
      <c r="B4356" s="12" t="inlineStr">
        <is>
          <t>I</t>
        </is>
      </c>
      <c r="C4356" s="12" t="inlineStr">
        <is>
          <t>Modular / portable power</t>
        </is>
      </c>
      <c r="D4356" s="12" t="inlineStr">
        <is>
          <t>Motor 3 of 5: control / local station</t>
        </is>
      </c>
      <c r="E4356" s="12" t="inlineStr"/>
      <c r="F4356" s="12" t="inlineStr">
        <is>
          <t>PCM: power control module</t>
        </is>
      </c>
      <c r="G4356" s="12" t="inlineStr"/>
      <c r="H4356" s="12" t="inlineStr">
        <is>
          <t>RICE 5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178</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I-C-0116</t>
        </is>
      </c>
      <c r="B4357" s="12" t="inlineStr">
        <is>
          <t>I</t>
        </is>
      </c>
      <c r="C4357" s="12" t="inlineStr">
        <is>
          <t>Modular / portable power</t>
        </is>
      </c>
      <c r="D4357" s="12" t="inlineStr">
        <is>
          <t>Motor 4 of 5: control / local station</t>
        </is>
      </c>
      <c r="E4357" s="12" t="inlineStr"/>
      <c r="F4357" s="12" t="inlineStr">
        <is>
          <t>PCM: power control module</t>
        </is>
      </c>
      <c r="G4357" s="12" t="inlineStr"/>
      <c r="H4357" s="12" t="inlineStr">
        <is>
          <t>RICE 5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178</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I-C-0117</t>
        </is>
      </c>
      <c r="B4358" s="12" t="inlineStr">
        <is>
          <t>I</t>
        </is>
      </c>
      <c r="C4358" s="12" t="inlineStr">
        <is>
          <t>Modular / portable power</t>
        </is>
      </c>
      <c r="D4358" s="12" t="inlineStr">
        <is>
          <t>Motor 5 of 5: control / local station</t>
        </is>
      </c>
      <c r="E4358" s="12" t="inlineStr"/>
      <c r="F4358" s="12" t="inlineStr">
        <is>
          <t>PCM: power control module</t>
        </is>
      </c>
      <c r="G4358" s="12" t="inlineStr"/>
      <c r="H4358" s="12" t="inlineStr">
        <is>
          <t>RICE 5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178</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I-C-0118</t>
        </is>
      </c>
      <c r="B4359" s="12" t="inlineStr">
        <is>
          <t>I</t>
        </is>
      </c>
      <c r="C4359" s="12" t="inlineStr">
        <is>
          <t>Modular / portable power</t>
        </is>
      </c>
      <c r="D4359" s="12" t="inlineStr">
        <is>
          <t>Motor 1 of 1: control / local station</t>
        </is>
      </c>
      <c r="E4359" s="12" t="inlineStr"/>
      <c r="F4359" s="12" t="inlineStr">
        <is>
          <t>PCM: power control module</t>
        </is>
      </c>
      <c r="G4359" s="12" t="inlineStr"/>
      <c r="H4359" s="12" t="inlineStr">
        <is>
          <t>RICE 6 SCR + oxidation catalyst and stack</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5" t="n">
        <v>113</v>
      </c>
      <c r="U4359" s="15" t="n">
        <v>153</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I-C-0119</t>
        </is>
      </c>
      <c r="B4360" s="12" t="inlineStr">
        <is>
          <t>I</t>
        </is>
      </c>
      <c r="C4360" s="12" t="inlineStr">
        <is>
          <t>Modular / portable power</t>
        </is>
      </c>
      <c r="D4360" s="12" t="inlineStr">
        <is>
          <t>Motor 1 of 5: control / local station</t>
        </is>
      </c>
      <c r="E4360" s="12" t="inlineStr"/>
      <c r="F4360" s="12" t="inlineStr">
        <is>
          <t>PCM: power control module</t>
        </is>
      </c>
      <c r="G4360" s="12" t="inlineStr"/>
      <c r="H4360" s="12" t="inlineStr">
        <is>
          <t>RICE 6 radiators (5)</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5" t="n">
        <v>0</v>
      </c>
      <c r="U4360" s="15" t="n">
        <v>150</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I-C-0120</t>
        </is>
      </c>
      <c r="B4361" s="12" t="inlineStr">
        <is>
          <t>I</t>
        </is>
      </c>
      <c r="C4361" s="12" t="inlineStr">
        <is>
          <t>Modular / portable power</t>
        </is>
      </c>
      <c r="D4361" s="12" t="inlineStr">
        <is>
          <t>Motor 2 of 5: control / local station</t>
        </is>
      </c>
      <c r="E4361" s="12" t="inlineStr"/>
      <c r="F4361" s="12" t="inlineStr">
        <is>
          <t>PCM: power control module</t>
        </is>
      </c>
      <c r="G4361" s="12" t="inlineStr"/>
      <c r="H4361" s="12" t="inlineStr">
        <is>
          <t>RICE 6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150</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I-C-0121</t>
        </is>
      </c>
      <c r="B4362" s="12" t="inlineStr">
        <is>
          <t>I</t>
        </is>
      </c>
      <c r="C4362" s="12" t="inlineStr">
        <is>
          <t>Modular / portable power</t>
        </is>
      </c>
      <c r="D4362" s="12" t="inlineStr">
        <is>
          <t>Motor 3 of 5: control / local station</t>
        </is>
      </c>
      <c r="E4362" s="12" t="inlineStr"/>
      <c r="F4362" s="12" t="inlineStr">
        <is>
          <t>PCM: power control module</t>
        </is>
      </c>
      <c r="G4362" s="12" t="inlineStr"/>
      <c r="H4362" s="12" t="inlineStr">
        <is>
          <t>RICE 6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150</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I-C-0122</t>
        </is>
      </c>
      <c r="B4363" s="12" t="inlineStr">
        <is>
          <t>I</t>
        </is>
      </c>
      <c r="C4363" s="12" t="inlineStr">
        <is>
          <t>Modular / portable power</t>
        </is>
      </c>
      <c r="D4363" s="12" t="inlineStr">
        <is>
          <t>Motor 4 of 5: control / local station</t>
        </is>
      </c>
      <c r="E4363" s="12" t="inlineStr"/>
      <c r="F4363" s="12" t="inlineStr">
        <is>
          <t>PCM: power control module</t>
        </is>
      </c>
      <c r="G4363" s="12" t="inlineStr"/>
      <c r="H4363" s="12" t="inlineStr">
        <is>
          <t>RICE 6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150</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I-C-0123</t>
        </is>
      </c>
      <c r="B4364" s="12" t="inlineStr">
        <is>
          <t>I</t>
        </is>
      </c>
      <c r="C4364" s="12" t="inlineStr">
        <is>
          <t>Modular / portable power</t>
        </is>
      </c>
      <c r="D4364" s="12" t="inlineStr">
        <is>
          <t>Motor 5 of 5: control / local station</t>
        </is>
      </c>
      <c r="E4364" s="12" t="inlineStr"/>
      <c r="F4364" s="12" t="inlineStr">
        <is>
          <t>PCM: power control module</t>
        </is>
      </c>
      <c r="G4364" s="12" t="inlineStr"/>
      <c r="H4364" s="12" t="inlineStr">
        <is>
          <t>RICE 6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150</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I-C-0124</t>
        </is>
      </c>
      <c r="B4365" s="12" t="inlineStr">
        <is>
          <t>I</t>
        </is>
      </c>
      <c r="C4365" s="12" t="inlineStr">
        <is>
          <t>Modular / portable power</t>
        </is>
      </c>
      <c r="D4365" s="12" t="inlineStr">
        <is>
          <t>Motor 1 of 1: control / local station</t>
        </is>
      </c>
      <c r="E4365" s="12" t="inlineStr"/>
      <c r="F4365" s="12" t="inlineStr">
        <is>
          <t>PCM: power control module</t>
        </is>
      </c>
      <c r="G4365" s="12" t="inlineStr"/>
      <c r="H4365" s="12" t="inlineStr">
        <is>
          <t>RICE 7 SCR + oxidation catalyst and stack</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5" t="n">
        <v>113</v>
      </c>
      <c r="U4365" s="15" t="n">
        <v>125</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I-C-0125</t>
        </is>
      </c>
      <c r="B4366" s="12" t="inlineStr">
        <is>
          <t>I</t>
        </is>
      </c>
      <c r="C4366" s="12" t="inlineStr">
        <is>
          <t>Modular / portable power</t>
        </is>
      </c>
      <c r="D4366" s="12" t="inlineStr">
        <is>
          <t>Motor 1 of 5: control / local station</t>
        </is>
      </c>
      <c r="E4366" s="12" t="inlineStr"/>
      <c r="F4366" s="12" t="inlineStr">
        <is>
          <t>PCM: power control module</t>
        </is>
      </c>
      <c r="G4366" s="12" t="inlineStr"/>
      <c r="H4366" s="12" t="inlineStr">
        <is>
          <t>RICE 7 radiators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5" t="n">
        <v>0</v>
      </c>
      <c r="U4366" s="15" t="n">
        <v>122</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I-C-0126</t>
        </is>
      </c>
      <c r="B4367" s="12" t="inlineStr">
        <is>
          <t>I</t>
        </is>
      </c>
      <c r="C4367" s="12" t="inlineStr">
        <is>
          <t>Modular / portable power</t>
        </is>
      </c>
      <c r="D4367" s="12" t="inlineStr">
        <is>
          <t>Motor 2 of 5: control / local station</t>
        </is>
      </c>
      <c r="E4367" s="12" t="inlineStr"/>
      <c r="F4367" s="12" t="inlineStr">
        <is>
          <t>PCM: power control module</t>
        </is>
      </c>
      <c r="G4367" s="12" t="inlineStr"/>
      <c r="H4367" s="12" t="inlineStr">
        <is>
          <t>RICE 7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122</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I-C-0127</t>
        </is>
      </c>
      <c r="B4368" s="12" t="inlineStr">
        <is>
          <t>I</t>
        </is>
      </c>
      <c r="C4368" s="12" t="inlineStr">
        <is>
          <t>Modular / portable power</t>
        </is>
      </c>
      <c r="D4368" s="12" t="inlineStr">
        <is>
          <t>Motor 3 of 5: control / local station</t>
        </is>
      </c>
      <c r="E4368" s="12" t="inlineStr"/>
      <c r="F4368" s="12" t="inlineStr">
        <is>
          <t>PCM: power control module</t>
        </is>
      </c>
      <c r="G4368" s="12" t="inlineStr"/>
      <c r="H4368" s="12" t="inlineStr">
        <is>
          <t>RICE 7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122</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I-C-0128</t>
        </is>
      </c>
      <c r="B4369" s="12" t="inlineStr">
        <is>
          <t>I</t>
        </is>
      </c>
      <c r="C4369" s="12" t="inlineStr">
        <is>
          <t>Modular / portable power</t>
        </is>
      </c>
      <c r="D4369" s="12" t="inlineStr">
        <is>
          <t>Motor 4 of 5: control / local station</t>
        </is>
      </c>
      <c r="E4369" s="12" t="inlineStr"/>
      <c r="F4369" s="12" t="inlineStr">
        <is>
          <t>PCM: power control module</t>
        </is>
      </c>
      <c r="G4369" s="12" t="inlineStr"/>
      <c r="H4369" s="12" t="inlineStr">
        <is>
          <t>RICE 7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122</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I-C-0129</t>
        </is>
      </c>
      <c r="B4370" s="12" t="inlineStr">
        <is>
          <t>I</t>
        </is>
      </c>
      <c r="C4370" s="12" t="inlineStr">
        <is>
          <t>Modular / portable power</t>
        </is>
      </c>
      <c r="D4370" s="12" t="inlineStr">
        <is>
          <t>Motor 5 of 5: control / local station</t>
        </is>
      </c>
      <c r="E4370" s="12" t="inlineStr"/>
      <c r="F4370" s="12" t="inlineStr">
        <is>
          <t>PCM: power control module</t>
        </is>
      </c>
      <c r="G4370" s="12" t="inlineStr"/>
      <c r="H4370" s="12" t="inlineStr">
        <is>
          <t>RICE 7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122</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I-C-0130</t>
        </is>
      </c>
      <c r="B4371" s="12" t="inlineStr">
        <is>
          <t>I</t>
        </is>
      </c>
      <c r="C4371" s="12" t="inlineStr">
        <is>
          <t>Modular / portable power</t>
        </is>
      </c>
      <c r="D4371" s="12" t="inlineStr">
        <is>
          <t>Motor 1 of 1: control / local station</t>
        </is>
      </c>
      <c r="E4371" s="12" t="inlineStr"/>
      <c r="F4371" s="12" t="inlineStr">
        <is>
          <t>PCM: power control module</t>
        </is>
      </c>
      <c r="G4371" s="12" t="inlineStr"/>
      <c r="H4371" s="12" t="inlineStr">
        <is>
          <t>RICE 8 SCR + oxidation catalyst and stack</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5" t="n">
        <v>113</v>
      </c>
      <c r="U4371" s="15" t="n">
        <v>97</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I-C-0131</t>
        </is>
      </c>
      <c r="B4372" s="12" t="inlineStr">
        <is>
          <t>I</t>
        </is>
      </c>
      <c r="C4372" s="12" t="inlineStr">
        <is>
          <t>Modular / portable power</t>
        </is>
      </c>
      <c r="D4372" s="12" t="inlineStr">
        <is>
          <t>Motor 1 of 5: control / local station</t>
        </is>
      </c>
      <c r="E4372" s="12" t="inlineStr"/>
      <c r="F4372" s="12" t="inlineStr">
        <is>
          <t>PCM: power control module</t>
        </is>
      </c>
      <c r="G4372" s="12" t="inlineStr"/>
      <c r="H4372" s="12" t="inlineStr">
        <is>
          <t>RICE 8 radiators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5" t="n">
        <v>0</v>
      </c>
      <c r="U4372" s="15" t="n">
        <v>94</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I-C-0132</t>
        </is>
      </c>
      <c r="B4373" s="12" t="inlineStr">
        <is>
          <t>I</t>
        </is>
      </c>
      <c r="C4373" s="12" t="inlineStr">
        <is>
          <t>Modular / portable power</t>
        </is>
      </c>
      <c r="D4373" s="12" t="inlineStr">
        <is>
          <t>Motor 2 of 5: control / local station</t>
        </is>
      </c>
      <c r="E4373" s="12" t="inlineStr"/>
      <c r="F4373" s="12" t="inlineStr">
        <is>
          <t>PCM: power control module</t>
        </is>
      </c>
      <c r="G4373" s="12" t="inlineStr"/>
      <c r="H4373" s="12" t="inlineStr">
        <is>
          <t>RICE 8 radiators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5" t="n">
        <v>0</v>
      </c>
      <c r="U4373" s="15" t="n">
        <v>94</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I-C-0133</t>
        </is>
      </c>
      <c r="B4374" s="12" t="inlineStr">
        <is>
          <t>I</t>
        </is>
      </c>
      <c r="C4374" s="12" t="inlineStr">
        <is>
          <t>Modular / portable power</t>
        </is>
      </c>
      <c r="D4374" s="12" t="inlineStr">
        <is>
          <t>Motor 3 of 5: control / local station</t>
        </is>
      </c>
      <c r="E4374" s="12" t="inlineStr"/>
      <c r="F4374" s="12" t="inlineStr">
        <is>
          <t>PCM: power control module</t>
        </is>
      </c>
      <c r="G4374" s="12" t="inlineStr"/>
      <c r="H4374" s="12" t="inlineStr">
        <is>
          <t>RICE 8 radiators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5" t="n">
        <v>0</v>
      </c>
      <c r="U4374" s="15" t="n">
        <v>94</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I-C-0134</t>
        </is>
      </c>
      <c r="B4375" s="12" t="inlineStr">
        <is>
          <t>I</t>
        </is>
      </c>
      <c r="C4375" s="12" t="inlineStr">
        <is>
          <t>Modular / portable power</t>
        </is>
      </c>
      <c r="D4375" s="12" t="inlineStr">
        <is>
          <t>Motor 4 of 5: control / local station</t>
        </is>
      </c>
      <c r="E4375" s="12" t="inlineStr"/>
      <c r="F4375" s="12" t="inlineStr">
        <is>
          <t>PCM: power control module</t>
        </is>
      </c>
      <c r="G4375" s="12" t="inlineStr"/>
      <c r="H4375" s="12" t="inlineStr">
        <is>
          <t>RICE 8 radiators (5)</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5" t="n">
        <v>0</v>
      </c>
      <c r="U4375" s="15" t="n">
        <v>94</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I-C-0135</t>
        </is>
      </c>
      <c r="B4376" s="12" t="inlineStr">
        <is>
          <t>I</t>
        </is>
      </c>
      <c r="C4376" s="12" t="inlineStr">
        <is>
          <t>Modular / portable power</t>
        </is>
      </c>
      <c r="D4376" s="12" t="inlineStr">
        <is>
          <t>Motor 5 of 5: control / local station</t>
        </is>
      </c>
      <c r="E4376" s="12" t="inlineStr"/>
      <c r="F4376" s="12" t="inlineStr">
        <is>
          <t>PCM: power control module</t>
        </is>
      </c>
      <c r="G4376" s="12" t="inlineStr"/>
      <c r="H4376" s="12" t="inlineStr">
        <is>
          <t>RICE 8 radiators (5)</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5" t="n">
        <v>0</v>
      </c>
      <c r="U4376" s="15" t="n">
        <v>94</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I-C-0136</t>
        </is>
      </c>
      <c r="B4377" s="12" t="inlineStr">
        <is>
          <t>I</t>
        </is>
      </c>
      <c r="C4377" s="12" t="inlineStr">
        <is>
          <t>Modular / portable power</t>
        </is>
      </c>
      <c r="D4377" s="12" t="inlineStr">
        <is>
          <t>Control</t>
        </is>
      </c>
      <c r="E4377" s="12" t="inlineStr"/>
      <c r="F4377" s="12" t="inlineStr">
        <is>
          <t>PCM: power control module</t>
        </is>
      </c>
      <c r="G4377" s="12" t="inlineStr"/>
      <c r="H4377" s="12" t="inlineStr">
        <is>
          <t>RICE CEMS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5" t="n">
        <v>158</v>
      </c>
      <c r="U4377" s="15" t="n">
        <v>32</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I-C-0137</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I-C-0138</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I-C-0139</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I-C-0140</t>
        </is>
      </c>
      <c r="B4381" s="12" t="inlineStr">
        <is>
          <t>I</t>
        </is>
      </c>
      <c r="C4381" s="12" t="inlineStr">
        <is>
          <t>Modular / portable power</t>
        </is>
      </c>
      <c r="D4381" s="12" t="inlineStr">
        <is>
          <t>Control</t>
        </is>
      </c>
      <c r="E4381" s="12" t="inlineStr"/>
      <c r="F4381" s="12" t="inlineStr">
        <is>
          <t>PCM: power control module</t>
        </is>
      </c>
      <c r="G4381" s="12" t="inlineStr">
        <is>
          <t>RICE</t>
        </is>
      </c>
      <c r="H4381" s="12" t="inlineStr">
        <is>
          <t>RICE engine hall (8 engines)</t>
        </is>
      </c>
      <c r="I4381" s="12" t="inlineStr">
        <is>
          <t>Control</t>
        </is>
      </c>
      <c r="J4381" s="12" t="inlineStr">
        <is>
          <t>Control cable 600 V Type TC-ER, Cu #14 AWG, PVC jacket</t>
        </is>
      </c>
      <c r="K4381" s="12" t="inlineStr">
        <is>
          <t>CT|12/C|14</t>
        </is>
      </c>
      <c r="L4381" s="12" t="inlineStr">
        <is>
          <t>12/C</t>
        </is>
      </c>
      <c r="M4381" s="12" t="inlineStr">
        <is>
          <t>14</t>
        </is>
      </c>
      <c r="N4381" s="12" t="n">
        <v>1</v>
      </c>
      <c r="O4381" s="12" t="n">
        <v>1</v>
      </c>
      <c r="P4381" s="12" t="n"/>
      <c r="Q4381" s="12" t="n"/>
      <c r="R4381" s="12" t="n"/>
      <c r="S4381" s="12" t="inlineStr">
        <is>
          <t>Duct bank</t>
        </is>
      </c>
      <c r="T4381" s="15" t="n">
        <v>57</v>
      </c>
      <c r="U4381" s="15" t="n">
        <v>83</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I-C-0141</t>
        </is>
      </c>
      <c r="B4382" s="12" t="inlineStr">
        <is>
          <t>I</t>
        </is>
      </c>
      <c r="C4382" s="12" t="inlineStr">
        <is>
          <t>Modular / portable power</t>
        </is>
      </c>
      <c r="D4382" s="12" t="inlineStr">
        <is>
          <t>Control</t>
        </is>
      </c>
      <c r="E4382" s="12" t="inlineStr"/>
      <c r="F4382" s="12" t="inlineStr">
        <is>
          <t>PCM: power control module</t>
        </is>
      </c>
      <c r="G4382" s="12" t="inlineStr">
        <is>
          <t>RICE</t>
        </is>
      </c>
      <c r="H4382" s="12" t="inlineStr">
        <is>
          <t>RICE engine hall (8 engines)</t>
        </is>
      </c>
      <c r="I4382" s="12" t="inlineStr">
        <is>
          <t>Control</t>
        </is>
      </c>
      <c r="J4382" s="12" t="inlineStr">
        <is>
          <t>Control cable 600 V Type TC-ER, Cu #14 AWG, PVC jacket</t>
        </is>
      </c>
      <c r="K4382" s="12" t="inlineStr">
        <is>
          <t>CT|12/C|14</t>
        </is>
      </c>
      <c r="L4382" s="12" t="inlineStr">
        <is>
          <t>12/C</t>
        </is>
      </c>
      <c r="M4382" s="12" t="inlineStr">
        <is>
          <t>14</t>
        </is>
      </c>
      <c r="N4382" s="12" t="n">
        <v>1</v>
      </c>
      <c r="O4382" s="12" t="n">
        <v>1</v>
      </c>
      <c r="P4382" s="12" t="n"/>
      <c r="Q4382" s="12" t="n"/>
      <c r="R4382" s="12" t="n"/>
      <c r="S4382" s="12" t="inlineStr">
        <is>
          <t>Duct bank</t>
        </is>
      </c>
      <c r="T4382" s="15" t="n">
        <v>57</v>
      </c>
      <c r="U4382" s="15" t="n">
        <v>83</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I-C-0142</t>
        </is>
      </c>
      <c r="B4383" s="12" t="inlineStr">
        <is>
          <t>I</t>
        </is>
      </c>
      <c r="C4383" s="12" t="inlineStr">
        <is>
          <t>Modular / portable power</t>
        </is>
      </c>
      <c r="D4383" s="12" t="inlineStr">
        <is>
          <t>Control</t>
        </is>
      </c>
      <c r="E4383" s="12" t="inlineStr"/>
      <c r="F4383" s="12" t="inlineStr">
        <is>
          <t>PCM: power control module</t>
        </is>
      </c>
      <c r="G4383" s="12" t="inlineStr">
        <is>
          <t>RICE</t>
        </is>
      </c>
      <c r="H4383" s="12" t="inlineStr">
        <is>
          <t>RICE engine hall (8 engines)</t>
        </is>
      </c>
      <c r="I4383" s="12" t="inlineStr">
        <is>
          <t>Control</t>
        </is>
      </c>
      <c r="J4383" s="12" t="inlineStr">
        <is>
          <t>Control cable 600 V Type TC-ER, Cu #14 AWG, PVC jacket</t>
        </is>
      </c>
      <c r="K4383" s="12" t="inlineStr">
        <is>
          <t>CT|12/C|14</t>
        </is>
      </c>
      <c r="L4383" s="12" t="inlineStr">
        <is>
          <t>12/C</t>
        </is>
      </c>
      <c r="M4383" s="12" t="inlineStr">
        <is>
          <t>14</t>
        </is>
      </c>
      <c r="N4383" s="12" t="n">
        <v>1</v>
      </c>
      <c r="O4383" s="12" t="n">
        <v>1</v>
      </c>
      <c r="P4383" s="12" t="n"/>
      <c r="Q4383" s="12" t="n"/>
      <c r="R4383" s="12" t="n"/>
      <c r="S4383" s="12" t="inlineStr">
        <is>
          <t>Duct bank</t>
        </is>
      </c>
      <c r="T4383" s="15" t="n">
        <v>57</v>
      </c>
      <c r="U4383" s="15" t="n">
        <v>83</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I-C-0143</t>
        </is>
      </c>
      <c r="B4384" s="12" t="inlineStr">
        <is>
          <t>I</t>
        </is>
      </c>
      <c r="C4384" s="12" t="inlineStr">
        <is>
          <t>Modular / portable power</t>
        </is>
      </c>
      <c r="D4384" s="12" t="inlineStr">
        <is>
          <t>Control</t>
        </is>
      </c>
      <c r="E4384" s="12" t="inlineStr"/>
      <c r="F4384" s="12" t="inlineStr">
        <is>
          <t>PCM: power control module</t>
        </is>
      </c>
      <c r="G4384" s="12" t="inlineStr">
        <is>
          <t>RICE</t>
        </is>
      </c>
      <c r="H4384" s="12" t="inlineStr">
        <is>
          <t>RICE engine hall (8 engines)</t>
        </is>
      </c>
      <c r="I4384" s="12" t="inlineStr">
        <is>
          <t>Control</t>
        </is>
      </c>
      <c r="J4384" s="12" t="inlineStr">
        <is>
          <t>Control cable 600 V Type TC-ER, Cu #14 AWG, PVC jacket</t>
        </is>
      </c>
      <c r="K4384" s="12" t="inlineStr">
        <is>
          <t>CT|12/C|14</t>
        </is>
      </c>
      <c r="L4384" s="12" t="inlineStr">
        <is>
          <t>12/C</t>
        </is>
      </c>
      <c r="M4384" s="12" t="inlineStr">
        <is>
          <t>14</t>
        </is>
      </c>
      <c r="N4384" s="12" t="n">
        <v>1</v>
      </c>
      <c r="O4384" s="12" t="n">
        <v>1</v>
      </c>
      <c r="P4384" s="12" t="n"/>
      <c r="Q4384" s="12" t="n"/>
      <c r="R4384" s="12" t="n"/>
      <c r="S4384" s="12" t="inlineStr">
        <is>
          <t>Duct bank</t>
        </is>
      </c>
      <c r="T4384" s="15" t="n">
        <v>57</v>
      </c>
      <c r="U4384" s="15" t="n">
        <v>83</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I-C-0144</t>
        </is>
      </c>
      <c r="B4385" s="12" t="inlineStr">
        <is>
          <t>I</t>
        </is>
      </c>
      <c r="C4385" s="12" t="inlineStr">
        <is>
          <t>Modular / portable power</t>
        </is>
      </c>
      <c r="D4385" s="12" t="inlineStr">
        <is>
          <t>Control</t>
        </is>
      </c>
      <c r="E4385" s="12" t="inlineStr"/>
      <c r="F4385" s="12" t="inlineStr">
        <is>
          <t>PCM: power control module</t>
        </is>
      </c>
      <c r="G4385" s="12" t="inlineStr">
        <is>
          <t>RICE</t>
        </is>
      </c>
      <c r="H4385" s="12" t="inlineStr">
        <is>
          <t>RICE engine hall (8 engines)</t>
        </is>
      </c>
      <c r="I4385" s="12" t="inlineStr">
        <is>
          <t>Control</t>
        </is>
      </c>
      <c r="J4385" s="12" t="inlineStr">
        <is>
          <t>Control cable 600 V Type TC-ER, Cu #14 AWG, PVC jacket</t>
        </is>
      </c>
      <c r="K4385" s="12" t="inlineStr">
        <is>
          <t>CT|12/C|14</t>
        </is>
      </c>
      <c r="L4385" s="12" t="inlineStr">
        <is>
          <t>12/C</t>
        </is>
      </c>
      <c r="M4385" s="12" t="inlineStr">
        <is>
          <t>14</t>
        </is>
      </c>
      <c r="N4385" s="12" t="n">
        <v>1</v>
      </c>
      <c r="O4385" s="12" t="n">
        <v>1</v>
      </c>
      <c r="P4385" s="12" t="n"/>
      <c r="Q4385" s="12" t="n"/>
      <c r="R4385" s="12" t="n"/>
      <c r="S4385" s="12" t="inlineStr">
        <is>
          <t>Duct bank</t>
        </is>
      </c>
      <c r="T4385" s="15" t="n">
        <v>57</v>
      </c>
      <c r="U4385" s="15" t="n">
        <v>83</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I-C-0145</t>
        </is>
      </c>
      <c r="B4386" s="12" t="inlineStr">
        <is>
          <t>I</t>
        </is>
      </c>
      <c r="C4386" s="12" t="inlineStr">
        <is>
          <t>Modular / portable power</t>
        </is>
      </c>
      <c r="D4386" s="12" t="inlineStr">
        <is>
          <t>Motor 1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I-C-0146</t>
        </is>
      </c>
      <c r="B4387" s="12" t="inlineStr">
        <is>
          <t>I</t>
        </is>
      </c>
      <c r="C4387" s="12" t="inlineStr">
        <is>
          <t>Modular / portable power</t>
        </is>
      </c>
      <c r="D4387" s="12" t="inlineStr">
        <is>
          <t>Motor 2 of 6: control / local station</t>
        </is>
      </c>
      <c r="E4387" s="12" t="inlineStr"/>
      <c r="F4387" s="12" t="inlineStr">
        <is>
          <t>PCM: power control module</t>
        </is>
      </c>
      <c r="G4387" s="12" t="inlineStr">
        <is>
          <t>RICE-1</t>
        </is>
      </c>
      <c r="H4387" s="12" t="inlineStr">
        <is>
          <t>RICE engine-generator 1</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137</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I-C-0147</t>
        </is>
      </c>
      <c r="B4388" s="12" t="inlineStr">
        <is>
          <t>I</t>
        </is>
      </c>
      <c r="C4388" s="12" t="inlineStr">
        <is>
          <t>Modular / portable power</t>
        </is>
      </c>
      <c r="D4388" s="12" t="inlineStr">
        <is>
          <t>Motor 3 of 6: control / local station</t>
        </is>
      </c>
      <c r="E4388" s="12" t="inlineStr"/>
      <c r="F4388" s="12" t="inlineStr">
        <is>
          <t>PCM: power control module</t>
        </is>
      </c>
      <c r="G4388" s="12" t="inlineStr">
        <is>
          <t>RICE-1</t>
        </is>
      </c>
      <c r="H4388" s="12" t="inlineStr">
        <is>
          <t>RICE engine-generator 1</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137</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I-C-0148</t>
        </is>
      </c>
      <c r="B4389" s="12" t="inlineStr">
        <is>
          <t>I</t>
        </is>
      </c>
      <c r="C4389" s="12" t="inlineStr">
        <is>
          <t>Modular / portable power</t>
        </is>
      </c>
      <c r="D4389" s="12" t="inlineStr">
        <is>
          <t>Motor 4 of 6: control / local station</t>
        </is>
      </c>
      <c r="E4389" s="12" t="inlineStr"/>
      <c r="F4389" s="12" t="inlineStr">
        <is>
          <t>PCM: power control module</t>
        </is>
      </c>
      <c r="G4389" s="12" t="inlineStr">
        <is>
          <t>RICE-1</t>
        </is>
      </c>
      <c r="H4389" s="12" t="inlineStr">
        <is>
          <t>RICE engine-generator 1</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137</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I-C-0149</t>
        </is>
      </c>
      <c r="B4390" s="12" t="inlineStr">
        <is>
          <t>I</t>
        </is>
      </c>
      <c r="C4390" s="12" t="inlineStr">
        <is>
          <t>Modular / portable power</t>
        </is>
      </c>
      <c r="D4390" s="12" t="inlineStr">
        <is>
          <t>Motor 5 of 6: control / local station</t>
        </is>
      </c>
      <c r="E4390" s="12" t="inlineStr"/>
      <c r="F4390" s="12" t="inlineStr">
        <is>
          <t>PCM: power control module</t>
        </is>
      </c>
      <c r="G4390" s="12" t="inlineStr">
        <is>
          <t>RICE-1</t>
        </is>
      </c>
      <c r="H4390" s="12" t="inlineStr">
        <is>
          <t>RICE engine-generator 1</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137</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I-C-0150</t>
        </is>
      </c>
      <c r="B4391" s="12" t="inlineStr">
        <is>
          <t>I</t>
        </is>
      </c>
      <c r="C4391" s="12" t="inlineStr">
        <is>
          <t>Modular / portable power</t>
        </is>
      </c>
      <c r="D4391" s="12" t="inlineStr">
        <is>
          <t>Motor 6 of 6: control / local station</t>
        </is>
      </c>
      <c r="E4391" s="12" t="inlineStr"/>
      <c r="F4391" s="12" t="inlineStr">
        <is>
          <t>PCM: power control module</t>
        </is>
      </c>
      <c r="G4391" s="12" t="inlineStr">
        <is>
          <t>RICE-1</t>
        </is>
      </c>
      <c r="H4391" s="12" t="inlineStr">
        <is>
          <t>RICE engine-generator 1</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137</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I-C-0151</t>
        </is>
      </c>
      <c r="B4392" s="12" t="inlineStr">
        <is>
          <t>I</t>
        </is>
      </c>
      <c r="C4392" s="12" t="inlineStr">
        <is>
          <t>Modular / portable power</t>
        </is>
      </c>
      <c r="D4392" s="12" t="inlineStr">
        <is>
          <t>Motor 1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I-C-0152</t>
        </is>
      </c>
      <c r="B4393" s="12" t="inlineStr">
        <is>
          <t>I</t>
        </is>
      </c>
      <c r="C4393" s="12" t="inlineStr">
        <is>
          <t>Modular / portable power</t>
        </is>
      </c>
      <c r="D4393" s="12" t="inlineStr">
        <is>
          <t>Motor 2 of 6: control / local station</t>
        </is>
      </c>
      <c r="E4393" s="12" t="inlineStr"/>
      <c r="F4393" s="12" t="inlineStr">
        <is>
          <t>PCM: power control module</t>
        </is>
      </c>
      <c r="G4393" s="12" t="inlineStr">
        <is>
          <t>RICE-2</t>
        </is>
      </c>
      <c r="H4393" s="12" t="inlineStr">
        <is>
          <t>RICE engine-generator 2</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109</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I-C-0153</t>
        </is>
      </c>
      <c r="B4394" s="12" t="inlineStr">
        <is>
          <t>I</t>
        </is>
      </c>
      <c r="C4394" s="12" t="inlineStr">
        <is>
          <t>Modular / portable power</t>
        </is>
      </c>
      <c r="D4394" s="12" t="inlineStr">
        <is>
          <t>Motor 3 of 6: control / local station</t>
        </is>
      </c>
      <c r="E4394" s="12" t="inlineStr"/>
      <c r="F4394" s="12" t="inlineStr">
        <is>
          <t>PCM: power control module</t>
        </is>
      </c>
      <c r="G4394" s="12" t="inlineStr">
        <is>
          <t>RICE-2</t>
        </is>
      </c>
      <c r="H4394" s="12" t="inlineStr">
        <is>
          <t>RICE engine-generator 2</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109</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I-C-0154</t>
        </is>
      </c>
      <c r="B4395" s="12" t="inlineStr">
        <is>
          <t>I</t>
        </is>
      </c>
      <c r="C4395" s="12" t="inlineStr">
        <is>
          <t>Modular / portable power</t>
        </is>
      </c>
      <c r="D4395" s="12" t="inlineStr">
        <is>
          <t>Motor 4 of 6: control / local station</t>
        </is>
      </c>
      <c r="E4395" s="12" t="inlineStr"/>
      <c r="F4395" s="12" t="inlineStr">
        <is>
          <t>PCM: power control module</t>
        </is>
      </c>
      <c r="G4395" s="12" t="inlineStr">
        <is>
          <t>RICE-2</t>
        </is>
      </c>
      <c r="H4395" s="12" t="inlineStr">
        <is>
          <t>RICE engine-generator 2</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109</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I-C-0155</t>
        </is>
      </c>
      <c r="B4396" s="12" t="inlineStr">
        <is>
          <t>I</t>
        </is>
      </c>
      <c r="C4396" s="12" t="inlineStr">
        <is>
          <t>Modular / portable power</t>
        </is>
      </c>
      <c r="D4396" s="12" t="inlineStr">
        <is>
          <t>Motor 5 of 6: control / local station</t>
        </is>
      </c>
      <c r="E4396" s="12" t="inlineStr"/>
      <c r="F4396" s="12" t="inlineStr">
        <is>
          <t>PCM: power control module</t>
        </is>
      </c>
      <c r="G4396" s="12" t="inlineStr">
        <is>
          <t>RICE-2</t>
        </is>
      </c>
      <c r="H4396" s="12" t="inlineStr">
        <is>
          <t>RICE engine-generator 2</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109</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I-C-0156</t>
        </is>
      </c>
      <c r="B4397" s="12" t="inlineStr">
        <is>
          <t>I</t>
        </is>
      </c>
      <c r="C4397" s="12" t="inlineStr">
        <is>
          <t>Modular / portable power</t>
        </is>
      </c>
      <c r="D4397" s="12" t="inlineStr">
        <is>
          <t>Motor 6 of 6: control / local station</t>
        </is>
      </c>
      <c r="E4397" s="12" t="inlineStr"/>
      <c r="F4397" s="12" t="inlineStr">
        <is>
          <t>PCM: power control module</t>
        </is>
      </c>
      <c r="G4397" s="12" t="inlineStr">
        <is>
          <t>RICE-2</t>
        </is>
      </c>
      <c r="H4397" s="12" t="inlineStr">
        <is>
          <t>RICE engine-generator 2</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109</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I-C-0157</t>
        </is>
      </c>
      <c r="B4398" s="12" t="inlineStr">
        <is>
          <t>I</t>
        </is>
      </c>
      <c r="C4398" s="12" t="inlineStr">
        <is>
          <t>Modular / portable power</t>
        </is>
      </c>
      <c r="D4398" s="12" t="inlineStr">
        <is>
          <t>Motor 1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I-C-0158</t>
        </is>
      </c>
      <c r="B4399" s="12" t="inlineStr">
        <is>
          <t>I</t>
        </is>
      </c>
      <c r="C4399" s="12" t="inlineStr">
        <is>
          <t>Modular / portable power</t>
        </is>
      </c>
      <c r="D4399" s="12" t="inlineStr">
        <is>
          <t>Motor 2 of 6: control / local station</t>
        </is>
      </c>
      <c r="E4399" s="12" t="inlineStr"/>
      <c r="F4399" s="12" t="inlineStr">
        <is>
          <t>PCM: power control module</t>
        </is>
      </c>
      <c r="G4399" s="12" t="inlineStr">
        <is>
          <t>RICE-3</t>
        </is>
      </c>
      <c r="H4399" s="12" t="inlineStr">
        <is>
          <t>RICE engine-generator 3</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81</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I-C-0159</t>
        </is>
      </c>
      <c r="B4400" s="12" t="inlineStr">
        <is>
          <t>I</t>
        </is>
      </c>
      <c r="C4400" s="12" t="inlineStr">
        <is>
          <t>Modular / portable power</t>
        </is>
      </c>
      <c r="D4400" s="12" t="inlineStr">
        <is>
          <t>Motor 3 of 6: control / local station</t>
        </is>
      </c>
      <c r="E4400" s="12" t="inlineStr"/>
      <c r="F4400" s="12" t="inlineStr">
        <is>
          <t>PCM: power control module</t>
        </is>
      </c>
      <c r="G4400" s="12" t="inlineStr">
        <is>
          <t>RICE-3</t>
        </is>
      </c>
      <c r="H4400" s="12" t="inlineStr">
        <is>
          <t>RICE engine-generator 3</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81</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I-C-0160</t>
        </is>
      </c>
      <c r="B4401" s="12" t="inlineStr">
        <is>
          <t>I</t>
        </is>
      </c>
      <c r="C4401" s="12" t="inlineStr">
        <is>
          <t>Modular / portable power</t>
        </is>
      </c>
      <c r="D4401" s="12" t="inlineStr">
        <is>
          <t>Motor 4 of 6: control / local station</t>
        </is>
      </c>
      <c r="E4401" s="12" t="inlineStr"/>
      <c r="F4401" s="12" t="inlineStr">
        <is>
          <t>PCM: power control module</t>
        </is>
      </c>
      <c r="G4401" s="12" t="inlineStr">
        <is>
          <t>RICE-3</t>
        </is>
      </c>
      <c r="H4401" s="12" t="inlineStr">
        <is>
          <t>RICE engine-generator 3</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81</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I-C-0161</t>
        </is>
      </c>
      <c r="B4402" s="12" t="inlineStr">
        <is>
          <t>I</t>
        </is>
      </c>
      <c r="C4402" s="12" t="inlineStr">
        <is>
          <t>Modular / portable power</t>
        </is>
      </c>
      <c r="D4402" s="12" t="inlineStr">
        <is>
          <t>Motor 5 of 6: control / local station</t>
        </is>
      </c>
      <c r="E4402" s="12" t="inlineStr"/>
      <c r="F4402" s="12" t="inlineStr">
        <is>
          <t>PCM: power control module</t>
        </is>
      </c>
      <c r="G4402" s="12" t="inlineStr">
        <is>
          <t>RICE-3</t>
        </is>
      </c>
      <c r="H4402" s="12" t="inlineStr">
        <is>
          <t>RICE engine-generator 3</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81</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I-C-0162</t>
        </is>
      </c>
      <c r="B4403" s="12" t="inlineStr">
        <is>
          <t>I</t>
        </is>
      </c>
      <c r="C4403" s="12" t="inlineStr">
        <is>
          <t>Modular / portable power</t>
        </is>
      </c>
      <c r="D4403" s="12" t="inlineStr">
        <is>
          <t>Motor 6 of 6: control / local station</t>
        </is>
      </c>
      <c r="E4403" s="12" t="inlineStr"/>
      <c r="F4403" s="12" t="inlineStr">
        <is>
          <t>PCM: power control module</t>
        </is>
      </c>
      <c r="G4403" s="12" t="inlineStr">
        <is>
          <t>RICE-3</t>
        </is>
      </c>
      <c r="H4403" s="12" t="inlineStr">
        <is>
          <t>RICE engine-generator 3</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81</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I-C-0163</t>
        </is>
      </c>
      <c r="B4404" s="12" t="inlineStr">
        <is>
          <t>I</t>
        </is>
      </c>
      <c r="C4404" s="12" t="inlineStr">
        <is>
          <t>Modular / portable power</t>
        </is>
      </c>
      <c r="D4404" s="12" t="inlineStr">
        <is>
          <t>Motor 1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I-C-0164</t>
        </is>
      </c>
      <c r="B4405" s="12" t="inlineStr">
        <is>
          <t>I</t>
        </is>
      </c>
      <c r="C4405" s="12" t="inlineStr">
        <is>
          <t>Modular / portable power</t>
        </is>
      </c>
      <c r="D4405" s="12" t="inlineStr">
        <is>
          <t>Motor 2 of 6: control / local station</t>
        </is>
      </c>
      <c r="E4405" s="12" t="inlineStr"/>
      <c r="F4405" s="12" t="inlineStr">
        <is>
          <t>PCM: power control module</t>
        </is>
      </c>
      <c r="G4405" s="12" t="inlineStr">
        <is>
          <t>RICE-4</t>
        </is>
      </c>
      <c r="H4405" s="12" t="inlineStr">
        <is>
          <t>RICE engine-generator 4</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516</v>
      </c>
      <c r="U4405" s="15" t="n">
        <v>53</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I-C-0165</t>
        </is>
      </c>
      <c r="B4406" s="12" t="inlineStr">
        <is>
          <t>I</t>
        </is>
      </c>
      <c r="C4406" s="12" t="inlineStr">
        <is>
          <t>Modular / portable power</t>
        </is>
      </c>
      <c r="D4406" s="12" t="inlineStr">
        <is>
          <t>Motor 3 of 6: control / local station</t>
        </is>
      </c>
      <c r="E4406" s="12" t="inlineStr"/>
      <c r="F4406" s="12" t="inlineStr">
        <is>
          <t>PCM: power control module</t>
        </is>
      </c>
      <c r="G4406" s="12" t="inlineStr">
        <is>
          <t>RICE-4</t>
        </is>
      </c>
      <c r="H4406" s="12" t="inlineStr">
        <is>
          <t>RICE engine-generator 4</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516</v>
      </c>
      <c r="U4406" s="15" t="n">
        <v>53</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I-C-0166</t>
        </is>
      </c>
      <c r="B4407" s="12" t="inlineStr">
        <is>
          <t>I</t>
        </is>
      </c>
      <c r="C4407" s="12" t="inlineStr">
        <is>
          <t>Modular / portable power</t>
        </is>
      </c>
      <c r="D4407" s="12" t="inlineStr">
        <is>
          <t>Motor 4 of 6: control / local station</t>
        </is>
      </c>
      <c r="E4407" s="12" t="inlineStr"/>
      <c r="F4407" s="12" t="inlineStr">
        <is>
          <t>PCM: power control module</t>
        </is>
      </c>
      <c r="G4407" s="12" t="inlineStr">
        <is>
          <t>RICE-4</t>
        </is>
      </c>
      <c r="H4407" s="12" t="inlineStr">
        <is>
          <t>RICE engine-generator 4</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516</v>
      </c>
      <c r="U4407" s="15" t="n">
        <v>53</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I-C-0167</t>
        </is>
      </c>
      <c r="B4408" s="12" t="inlineStr">
        <is>
          <t>I</t>
        </is>
      </c>
      <c r="C4408" s="12" t="inlineStr">
        <is>
          <t>Modular / portable power</t>
        </is>
      </c>
      <c r="D4408" s="12" t="inlineStr">
        <is>
          <t>Motor 5 of 6: control / local station</t>
        </is>
      </c>
      <c r="E4408" s="12" t="inlineStr"/>
      <c r="F4408" s="12" t="inlineStr">
        <is>
          <t>PCM: power control module</t>
        </is>
      </c>
      <c r="G4408" s="12" t="inlineStr">
        <is>
          <t>RICE-4</t>
        </is>
      </c>
      <c r="H4408" s="12" t="inlineStr">
        <is>
          <t>RICE engine-generator 4</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516</v>
      </c>
      <c r="U4408" s="15" t="n">
        <v>53</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I-C-0168</t>
        </is>
      </c>
      <c r="B4409" s="12" t="inlineStr">
        <is>
          <t>I</t>
        </is>
      </c>
      <c r="C4409" s="12" t="inlineStr">
        <is>
          <t>Modular / portable power</t>
        </is>
      </c>
      <c r="D4409" s="12" t="inlineStr">
        <is>
          <t>Motor 6 of 6: control / local station</t>
        </is>
      </c>
      <c r="E4409" s="12" t="inlineStr"/>
      <c r="F4409" s="12" t="inlineStr">
        <is>
          <t>PCM: power control module</t>
        </is>
      </c>
      <c r="G4409" s="12" t="inlineStr">
        <is>
          <t>RICE-4</t>
        </is>
      </c>
      <c r="H4409" s="12" t="inlineStr">
        <is>
          <t>RICE engine-generator 4</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516</v>
      </c>
      <c r="U4409" s="15" t="n">
        <v>53</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I-C-0169</t>
        </is>
      </c>
      <c r="B4410" s="12" t="inlineStr">
        <is>
          <t>I</t>
        </is>
      </c>
      <c r="C4410" s="12" t="inlineStr">
        <is>
          <t>Modular / portable power</t>
        </is>
      </c>
      <c r="D4410" s="12" t="inlineStr">
        <is>
          <t>Motor 1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I-C-0170</t>
        </is>
      </c>
      <c r="B4411" s="12" t="inlineStr">
        <is>
          <t>I</t>
        </is>
      </c>
      <c r="C4411" s="12" t="inlineStr">
        <is>
          <t>Modular / portable power</t>
        </is>
      </c>
      <c r="D4411" s="12" t="inlineStr">
        <is>
          <t>Motor 2 of 6: control / local station</t>
        </is>
      </c>
      <c r="E4411" s="12" t="inlineStr"/>
      <c r="F4411" s="12" t="inlineStr">
        <is>
          <t>PCM: power control module</t>
        </is>
      </c>
      <c r="G4411" s="12" t="inlineStr">
        <is>
          <t>RICE-5</t>
        </is>
      </c>
      <c r="H4411" s="12" t="inlineStr">
        <is>
          <t>RICE engine-generator 5</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181</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I-C-0171</t>
        </is>
      </c>
      <c r="B4412" s="12" t="inlineStr">
        <is>
          <t>I</t>
        </is>
      </c>
      <c r="C4412" s="12" t="inlineStr">
        <is>
          <t>Modular / portable power</t>
        </is>
      </c>
      <c r="D4412" s="12" t="inlineStr">
        <is>
          <t>Motor 3 of 6: control / local station</t>
        </is>
      </c>
      <c r="E4412" s="12" t="inlineStr"/>
      <c r="F4412" s="12" t="inlineStr">
        <is>
          <t>PCM: power control module</t>
        </is>
      </c>
      <c r="G4412" s="12" t="inlineStr">
        <is>
          <t>RICE-5</t>
        </is>
      </c>
      <c r="H4412" s="12" t="inlineStr">
        <is>
          <t>RICE engine-generator 5</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181</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I-C-0172</t>
        </is>
      </c>
      <c r="B4413" s="12" t="inlineStr">
        <is>
          <t>I</t>
        </is>
      </c>
      <c r="C4413" s="12" t="inlineStr">
        <is>
          <t>Modular / portable power</t>
        </is>
      </c>
      <c r="D4413" s="12" t="inlineStr">
        <is>
          <t>Motor 4 of 6: control / local station</t>
        </is>
      </c>
      <c r="E4413" s="12" t="inlineStr"/>
      <c r="F4413" s="12" t="inlineStr">
        <is>
          <t>PCM: power control module</t>
        </is>
      </c>
      <c r="G4413" s="12" t="inlineStr">
        <is>
          <t>RICE-5</t>
        </is>
      </c>
      <c r="H4413" s="12" t="inlineStr">
        <is>
          <t>RICE engine-generator 5</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181</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I-C-0173</t>
        </is>
      </c>
      <c r="B4414" s="12" t="inlineStr">
        <is>
          <t>I</t>
        </is>
      </c>
      <c r="C4414" s="12" t="inlineStr">
        <is>
          <t>Modular / portable power</t>
        </is>
      </c>
      <c r="D4414" s="12" t="inlineStr">
        <is>
          <t>Motor 5 of 6: control / local station</t>
        </is>
      </c>
      <c r="E4414" s="12" t="inlineStr"/>
      <c r="F4414" s="12" t="inlineStr">
        <is>
          <t>PCM: power control module</t>
        </is>
      </c>
      <c r="G4414" s="12" t="inlineStr">
        <is>
          <t>RICE-5</t>
        </is>
      </c>
      <c r="H4414" s="12" t="inlineStr">
        <is>
          <t>RICE engine-generator 5</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181</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I-C-0174</t>
        </is>
      </c>
      <c r="B4415" s="12" t="inlineStr">
        <is>
          <t>I</t>
        </is>
      </c>
      <c r="C4415" s="12" t="inlineStr">
        <is>
          <t>Modular / portable power</t>
        </is>
      </c>
      <c r="D4415" s="12" t="inlineStr">
        <is>
          <t>Motor 6 of 6: control / local station</t>
        </is>
      </c>
      <c r="E4415" s="12" t="inlineStr"/>
      <c r="F4415" s="12" t="inlineStr">
        <is>
          <t>PCM: power control module</t>
        </is>
      </c>
      <c r="G4415" s="12" t="inlineStr">
        <is>
          <t>RICE-5</t>
        </is>
      </c>
      <c r="H4415" s="12" t="inlineStr">
        <is>
          <t>RICE engine-generator 5</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181</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I-C-0175</t>
        </is>
      </c>
      <c r="B4416" s="12" t="inlineStr">
        <is>
          <t>I</t>
        </is>
      </c>
      <c r="C4416" s="12" t="inlineStr">
        <is>
          <t>Modular / portable power</t>
        </is>
      </c>
      <c r="D4416" s="12" t="inlineStr">
        <is>
          <t>Motor 1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I-C-0176</t>
        </is>
      </c>
      <c r="B4417" s="12" t="inlineStr">
        <is>
          <t>I</t>
        </is>
      </c>
      <c r="C4417" s="12" t="inlineStr">
        <is>
          <t>Modular / portable power</t>
        </is>
      </c>
      <c r="D4417" s="12" t="inlineStr">
        <is>
          <t>Motor 2 of 6: control / local station</t>
        </is>
      </c>
      <c r="E4417" s="12" t="inlineStr"/>
      <c r="F4417" s="12" t="inlineStr">
        <is>
          <t>PCM: power control module</t>
        </is>
      </c>
      <c r="G4417" s="12" t="inlineStr">
        <is>
          <t>RICE-6</t>
        </is>
      </c>
      <c r="H4417" s="12" t="inlineStr">
        <is>
          <t>RICE engine-generator 6</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153</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I-C-0177</t>
        </is>
      </c>
      <c r="B4418" s="12" t="inlineStr">
        <is>
          <t>I</t>
        </is>
      </c>
      <c r="C4418" s="12" t="inlineStr">
        <is>
          <t>Modular / portable power</t>
        </is>
      </c>
      <c r="D4418" s="12" t="inlineStr">
        <is>
          <t>Motor 3 of 6: control / local station</t>
        </is>
      </c>
      <c r="E4418" s="12" t="inlineStr"/>
      <c r="F4418" s="12" t="inlineStr">
        <is>
          <t>PCM: power control module</t>
        </is>
      </c>
      <c r="G4418" s="12" t="inlineStr">
        <is>
          <t>RICE-6</t>
        </is>
      </c>
      <c r="H4418" s="12" t="inlineStr">
        <is>
          <t>RICE engine-generator 6</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153</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I-C-0178</t>
        </is>
      </c>
      <c r="B4419" s="12" t="inlineStr">
        <is>
          <t>I</t>
        </is>
      </c>
      <c r="C4419" s="12" t="inlineStr">
        <is>
          <t>Modular / portable power</t>
        </is>
      </c>
      <c r="D4419" s="12" t="inlineStr">
        <is>
          <t>Motor 4 of 6: control / local station</t>
        </is>
      </c>
      <c r="E4419" s="12" t="inlineStr"/>
      <c r="F4419" s="12" t="inlineStr">
        <is>
          <t>PCM: power control module</t>
        </is>
      </c>
      <c r="G4419" s="12" t="inlineStr">
        <is>
          <t>RICE-6</t>
        </is>
      </c>
      <c r="H4419" s="12" t="inlineStr">
        <is>
          <t>RICE engine-generator 6</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153</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I-C-0179</t>
        </is>
      </c>
      <c r="B4420" s="12" t="inlineStr">
        <is>
          <t>I</t>
        </is>
      </c>
      <c r="C4420" s="12" t="inlineStr">
        <is>
          <t>Modular / portable power</t>
        </is>
      </c>
      <c r="D4420" s="12" t="inlineStr">
        <is>
          <t>Motor 5 of 6: control / local station</t>
        </is>
      </c>
      <c r="E4420" s="12" t="inlineStr"/>
      <c r="F4420" s="12" t="inlineStr">
        <is>
          <t>PCM: power control module</t>
        </is>
      </c>
      <c r="G4420" s="12" t="inlineStr">
        <is>
          <t>RICE-6</t>
        </is>
      </c>
      <c r="H4420" s="12" t="inlineStr">
        <is>
          <t>RICE engine-generator 6</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153</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I-C-0180</t>
        </is>
      </c>
      <c r="B4421" s="12" t="inlineStr">
        <is>
          <t>I</t>
        </is>
      </c>
      <c r="C4421" s="12" t="inlineStr">
        <is>
          <t>Modular / portable power</t>
        </is>
      </c>
      <c r="D4421" s="12" t="inlineStr">
        <is>
          <t>Motor 6 of 6: control / local station</t>
        </is>
      </c>
      <c r="E4421" s="12" t="inlineStr"/>
      <c r="F4421" s="12" t="inlineStr">
        <is>
          <t>PCM: power control module</t>
        </is>
      </c>
      <c r="G4421" s="12" t="inlineStr">
        <is>
          <t>RICE-6</t>
        </is>
      </c>
      <c r="H4421" s="12" t="inlineStr">
        <is>
          <t>RICE engine-generator 6</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153</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I-C-0181</t>
        </is>
      </c>
      <c r="B4422" s="12" t="inlineStr">
        <is>
          <t>I</t>
        </is>
      </c>
      <c r="C4422" s="12" t="inlineStr">
        <is>
          <t>Modular / portable power</t>
        </is>
      </c>
      <c r="D4422" s="12" t="inlineStr">
        <is>
          <t>Motor 1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I-C-0182</t>
        </is>
      </c>
      <c r="B4423" s="12" t="inlineStr">
        <is>
          <t>I</t>
        </is>
      </c>
      <c r="C4423" s="12" t="inlineStr">
        <is>
          <t>Modular / portable power</t>
        </is>
      </c>
      <c r="D4423" s="12" t="inlineStr">
        <is>
          <t>Motor 2 of 6: control / local station</t>
        </is>
      </c>
      <c r="E4423" s="12" t="inlineStr"/>
      <c r="F4423" s="12" t="inlineStr">
        <is>
          <t>PCM: power control module</t>
        </is>
      </c>
      <c r="G4423" s="12" t="inlineStr">
        <is>
          <t>RICE-7</t>
        </is>
      </c>
      <c r="H4423" s="12" t="inlineStr">
        <is>
          <t>RICE engine-generator 7</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125</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I-C-0183</t>
        </is>
      </c>
      <c r="B4424" s="12" t="inlineStr">
        <is>
          <t>I</t>
        </is>
      </c>
      <c r="C4424" s="12" t="inlineStr">
        <is>
          <t>Modular / portable power</t>
        </is>
      </c>
      <c r="D4424" s="12" t="inlineStr">
        <is>
          <t>Motor 3 of 6: control / local station</t>
        </is>
      </c>
      <c r="E4424" s="12" t="inlineStr"/>
      <c r="F4424" s="12" t="inlineStr">
        <is>
          <t>PCM: power control module</t>
        </is>
      </c>
      <c r="G4424" s="12" t="inlineStr">
        <is>
          <t>RICE-7</t>
        </is>
      </c>
      <c r="H4424" s="12" t="inlineStr">
        <is>
          <t>RICE engine-generator 7</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125</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I-C-0184</t>
        </is>
      </c>
      <c r="B4425" s="12" t="inlineStr">
        <is>
          <t>I</t>
        </is>
      </c>
      <c r="C4425" s="12" t="inlineStr">
        <is>
          <t>Modular / portable power</t>
        </is>
      </c>
      <c r="D4425" s="12" t="inlineStr">
        <is>
          <t>Motor 4 of 6: control / local station</t>
        </is>
      </c>
      <c r="E4425" s="12" t="inlineStr"/>
      <c r="F4425" s="12" t="inlineStr">
        <is>
          <t>PCM: power control module</t>
        </is>
      </c>
      <c r="G4425" s="12" t="inlineStr">
        <is>
          <t>RICE-7</t>
        </is>
      </c>
      <c r="H4425" s="12" t="inlineStr">
        <is>
          <t>RICE engine-generator 7</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125</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I-C-0185</t>
        </is>
      </c>
      <c r="B4426" s="12" t="inlineStr">
        <is>
          <t>I</t>
        </is>
      </c>
      <c r="C4426" s="12" t="inlineStr">
        <is>
          <t>Modular / portable power</t>
        </is>
      </c>
      <c r="D4426" s="12" t="inlineStr">
        <is>
          <t>Motor 5 of 6: control / local station</t>
        </is>
      </c>
      <c r="E4426" s="12" t="inlineStr"/>
      <c r="F4426" s="12" t="inlineStr">
        <is>
          <t>PCM: power control module</t>
        </is>
      </c>
      <c r="G4426" s="12" t="inlineStr">
        <is>
          <t>RICE-7</t>
        </is>
      </c>
      <c r="H4426" s="12" t="inlineStr">
        <is>
          <t>RICE engine-generator 7</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125</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I-C-0186</t>
        </is>
      </c>
      <c r="B4427" s="12" t="inlineStr">
        <is>
          <t>I</t>
        </is>
      </c>
      <c r="C4427" s="12" t="inlineStr">
        <is>
          <t>Modular / portable power</t>
        </is>
      </c>
      <c r="D4427" s="12" t="inlineStr">
        <is>
          <t>Motor 6 of 6: control / local station</t>
        </is>
      </c>
      <c r="E4427" s="12" t="inlineStr"/>
      <c r="F4427" s="12" t="inlineStr">
        <is>
          <t>PCM: power control module</t>
        </is>
      </c>
      <c r="G4427" s="12" t="inlineStr">
        <is>
          <t>RICE-7</t>
        </is>
      </c>
      <c r="H4427" s="12" t="inlineStr">
        <is>
          <t>RICE engine-generator 7</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125</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I-C-0187</t>
        </is>
      </c>
      <c r="B4428" s="12" t="inlineStr">
        <is>
          <t>I</t>
        </is>
      </c>
      <c r="C4428" s="12" t="inlineStr">
        <is>
          <t>Modular / portable power</t>
        </is>
      </c>
      <c r="D4428" s="12" t="inlineStr">
        <is>
          <t>Motor 1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I-C-0188</t>
        </is>
      </c>
      <c r="B4429" s="12" t="inlineStr">
        <is>
          <t>I</t>
        </is>
      </c>
      <c r="C4429" s="12" t="inlineStr">
        <is>
          <t>Modular / portable power</t>
        </is>
      </c>
      <c r="D4429" s="12" t="inlineStr">
        <is>
          <t>Motor 2 of 6: control / local station</t>
        </is>
      </c>
      <c r="E4429" s="12" t="inlineStr"/>
      <c r="F4429" s="12" t="inlineStr">
        <is>
          <t>PCM: power control module</t>
        </is>
      </c>
      <c r="G4429" s="12" t="inlineStr">
        <is>
          <t>RICE-8</t>
        </is>
      </c>
      <c r="H4429" s="12" t="inlineStr">
        <is>
          <t>RICE engine-generator 8</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5" t="n">
        <v>57</v>
      </c>
      <c r="U4429" s="15" t="n">
        <v>97</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I-C-0189</t>
        </is>
      </c>
      <c r="B4430" s="12" t="inlineStr">
        <is>
          <t>I</t>
        </is>
      </c>
      <c r="C4430" s="12" t="inlineStr">
        <is>
          <t>Modular / portable power</t>
        </is>
      </c>
      <c r="D4430" s="12" t="inlineStr">
        <is>
          <t>Motor 3 of 6: control / local station</t>
        </is>
      </c>
      <c r="E4430" s="12" t="inlineStr"/>
      <c r="F4430" s="12" t="inlineStr">
        <is>
          <t>PCM: power control module</t>
        </is>
      </c>
      <c r="G4430" s="12" t="inlineStr">
        <is>
          <t>RICE-8</t>
        </is>
      </c>
      <c r="H4430" s="12" t="inlineStr">
        <is>
          <t>RICE engine-generator 8</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5" t="n">
        <v>57</v>
      </c>
      <c r="U4430" s="15" t="n">
        <v>97</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I-C-0190</t>
        </is>
      </c>
      <c r="B4431" s="12" t="inlineStr">
        <is>
          <t>I</t>
        </is>
      </c>
      <c r="C4431" s="12" t="inlineStr">
        <is>
          <t>Modular / portable power</t>
        </is>
      </c>
      <c r="D4431" s="12" t="inlineStr">
        <is>
          <t>Motor 4 of 6: control / local station</t>
        </is>
      </c>
      <c r="E4431" s="12" t="inlineStr"/>
      <c r="F4431" s="12" t="inlineStr">
        <is>
          <t>PCM: power control module</t>
        </is>
      </c>
      <c r="G4431" s="12" t="inlineStr">
        <is>
          <t>RICE-8</t>
        </is>
      </c>
      <c r="H4431" s="12" t="inlineStr">
        <is>
          <t>RICE engine-generator 8</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5" t="n">
        <v>57</v>
      </c>
      <c r="U4431" s="15" t="n">
        <v>97</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I-C-0191</t>
        </is>
      </c>
      <c r="B4432" s="12" t="inlineStr">
        <is>
          <t>I</t>
        </is>
      </c>
      <c r="C4432" s="12" t="inlineStr">
        <is>
          <t>Modular / portable power</t>
        </is>
      </c>
      <c r="D4432" s="12" t="inlineStr">
        <is>
          <t>Motor 5 of 6: control / local station</t>
        </is>
      </c>
      <c r="E4432" s="12" t="inlineStr"/>
      <c r="F4432" s="12" t="inlineStr">
        <is>
          <t>PCM: power control module</t>
        </is>
      </c>
      <c r="G4432" s="12" t="inlineStr">
        <is>
          <t>RICE-8</t>
        </is>
      </c>
      <c r="H4432" s="12" t="inlineStr">
        <is>
          <t>RICE engine-generator 8</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5" t="n">
        <v>57</v>
      </c>
      <c r="U4432" s="15" t="n">
        <v>97</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I-C-0192</t>
        </is>
      </c>
      <c r="B4433" s="12" t="inlineStr">
        <is>
          <t>I</t>
        </is>
      </c>
      <c r="C4433" s="12" t="inlineStr">
        <is>
          <t>Modular / portable power</t>
        </is>
      </c>
      <c r="D4433" s="12" t="inlineStr">
        <is>
          <t>Motor 6 of 6: control / local station</t>
        </is>
      </c>
      <c r="E4433" s="12" t="inlineStr"/>
      <c r="F4433" s="12" t="inlineStr">
        <is>
          <t>PCM: power control module</t>
        </is>
      </c>
      <c r="G4433" s="12" t="inlineStr">
        <is>
          <t>RICE-8</t>
        </is>
      </c>
      <c r="H4433" s="12" t="inlineStr">
        <is>
          <t>RICE engine-generator 8</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57</v>
      </c>
      <c r="U4433" s="15" t="n">
        <v>97</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I-C-0193</t>
        </is>
      </c>
      <c r="B4434" s="12" t="inlineStr">
        <is>
          <t>I</t>
        </is>
      </c>
      <c r="C4434" s="12" t="inlineStr">
        <is>
          <t>Modular / portable power</t>
        </is>
      </c>
      <c r="D4434" s="12" t="inlineStr">
        <is>
          <t>RICE-GSU-A protection / trip / cooling control</t>
        </is>
      </c>
      <c r="E4434" s="12" t="inlineStr"/>
      <c r="F4434" s="12" t="inlineStr">
        <is>
          <t>PCM: power control module</t>
        </is>
      </c>
      <c r="G4434" s="12" t="inlineStr">
        <is>
          <t>RICE-GSU-A</t>
        </is>
      </c>
      <c r="H4434" s="12" t="inlineStr">
        <is>
          <t>RICE-GSU-A: 13.8 / 34.5 kV group step-up, ~45 MVA (RICE 1-2)</t>
        </is>
      </c>
      <c r="I4434" s="12" t="inlineStr">
        <is>
          <t>Control</t>
        </is>
      </c>
      <c r="J4434" s="12" t="inlineStr">
        <is>
          <t>Control cable 600 V Type TC-ER, Cu #14 AWG, PVC jacket</t>
        </is>
      </c>
      <c r="K4434" s="12" t="inlineStr">
        <is>
          <t>CT|12/C|14</t>
        </is>
      </c>
      <c r="L4434" s="12" t="inlineStr">
        <is>
          <t>12/C</t>
        </is>
      </c>
      <c r="M4434" s="12" t="inlineStr">
        <is>
          <t>14</t>
        </is>
      </c>
      <c r="N4434" s="12" t="n">
        <v>1</v>
      </c>
      <c r="O4434" s="12" t="n">
        <v>1</v>
      </c>
      <c r="P4434" s="12" t="n"/>
      <c r="Q4434" s="12" t="n"/>
      <c r="R4434" s="12" t="n"/>
      <c r="S4434" s="12" t="inlineStr">
        <is>
          <t>Duct bank</t>
        </is>
      </c>
      <c r="T4434" s="15" t="n">
        <v>78</v>
      </c>
      <c r="U4434" s="15" t="n">
        <v>32</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I-C-0194</t>
        </is>
      </c>
      <c r="B4435" s="12" t="inlineStr">
        <is>
          <t>I</t>
        </is>
      </c>
      <c r="C4435" s="12" t="inlineStr">
        <is>
          <t>Modular / portable power</t>
        </is>
      </c>
      <c r="D4435" s="12" t="inlineStr">
        <is>
          <t>RICE-GSU-B protection / trip / cooling control</t>
        </is>
      </c>
      <c r="E4435" s="12" t="inlineStr"/>
      <c r="F4435" s="12" t="inlineStr">
        <is>
          <t>PCM: power control module</t>
        </is>
      </c>
      <c r="G4435" s="12" t="inlineStr">
        <is>
          <t>RICE-GSU-B</t>
        </is>
      </c>
      <c r="H4435" s="12" t="inlineStr">
        <is>
          <t>RICE-GSU-B: 13.8 / 34.5 kV group step-up, ~45 MVA (RICE 3-4)</t>
        </is>
      </c>
      <c r="I4435" s="12" t="inlineStr">
        <is>
          <t>Control</t>
        </is>
      </c>
      <c r="J4435" s="12" t="inlineStr">
        <is>
          <t>Control cable 600 V Type TC-ER, Cu #14 AWG, PVC jacket</t>
        </is>
      </c>
      <c r="K4435" s="12" t="inlineStr">
        <is>
          <t>CT|12/C|14</t>
        </is>
      </c>
      <c r="L4435" s="12" t="inlineStr">
        <is>
          <t>12/C</t>
        </is>
      </c>
      <c r="M4435" s="12" t="inlineStr">
        <is>
          <t>14</t>
        </is>
      </c>
      <c r="N4435" s="12" t="n">
        <v>1</v>
      </c>
      <c r="O4435" s="12" t="n">
        <v>1</v>
      </c>
      <c r="P4435" s="12" t="n"/>
      <c r="Q4435" s="12" t="n"/>
      <c r="R4435" s="12" t="n"/>
      <c r="S4435" s="12" t="inlineStr">
        <is>
          <t>Duct bank</t>
        </is>
      </c>
      <c r="T4435" s="15" t="n">
        <v>105</v>
      </c>
      <c r="U4435" s="15" t="n">
        <v>32</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I-C-0195</t>
        </is>
      </c>
      <c r="B4436" s="12" t="inlineStr">
        <is>
          <t>I</t>
        </is>
      </c>
      <c r="C4436" s="12" t="inlineStr">
        <is>
          <t>Modular / portable power</t>
        </is>
      </c>
      <c r="D4436" s="12" t="inlineStr">
        <is>
          <t>RICE-GSU-C protection / trip / cooling control</t>
        </is>
      </c>
      <c r="E4436" s="12" t="inlineStr"/>
      <c r="F4436" s="12" t="inlineStr">
        <is>
          <t>PCM: power control module</t>
        </is>
      </c>
      <c r="G4436" s="12" t="inlineStr">
        <is>
          <t>RICE-GSU-C</t>
        </is>
      </c>
      <c r="H4436" s="12" t="inlineStr">
        <is>
          <t>RICE-GSU-C: 13.8 / 34.5 kV group step-up, ~45 MVA (RICE 5-6)</t>
        </is>
      </c>
      <c r="I4436" s="12" t="inlineStr">
        <is>
          <t>Control</t>
        </is>
      </c>
      <c r="J4436" s="12" t="inlineStr">
        <is>
          <t>Control cable 600 V Type TC-ER, Cu #14 AWG, PVC jacket</t>
        </is>
      </c>
      <c r="K4436" s="12" t="inlineStr">
        <is>
          <t>CT|12/C|14</t>
        </is>
      </c>
      <c r="L4436" s="12" t="inlineStr">
        <is>
          <t>12/C</t>
        </is>
      </c>
      <c r="M4436" s="12" t="inlineStr">
        <is>
          <t>14</t>
        </is>
      </c>
      <c r="N4436" s="12" t="n">
        <v>1</v>
      </c>
      <c r="O4436" s="12" t="n">
        <v>1</v>
      </c>
      <c r="P4436" s="12" t="n"/>
      <c r="Q4436" s="12" t="n"/>
      <c r="R4436" s="12" t="n"/>
      <c r="S4436" s="12" t="inlineStr">
        <is>
          <t>Duct bank</t>
        </is>
      </c>
      <c r="T4436" s="15" t="n">
        <v>132</v>
      </c>
      <c r="U4436" s="15" t="n">
        <v>32</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I-C-0196</t>
        </is>
      </c>
      <c r="B4437" s="12" t="inlineStr">
        <is>
          <t>I</t>
        </is>
      </c>
      <c r="C4437" s="12" t="inlineStr">
        <is>
          <t>Modular / portable power</t>
        </is>
      </c>
      <c r="D4437" s="12" t="inlineStr">
        <is>
          <t>RICE-GSU-D protection / trip / cooling control</t>
        </is>
      </c>
      <c r="E4437" s="12" t="inlineStr"/>
      <c r="F4437" s="12" t="inlineStr">
        <is>
          <t>PCM: power control module</t>
        </is>
      </c>
      <c r="G4437" s="12" t="inlineStr">
        <is>
          <t>RICE-GSU-D</t>
        </is>
      </c>
      <c r="H4437" s="12" t="inlineStr">
        <is>
          <t>RICE-GSU-D: 13.8 / 34.5 kV group step-up, ~45 MVA (RICE 7-8)</t>
        </is>
      </c>
      <c r="I4437" s="12" t="inlineStr">
        <is>
          <t>Control</t>
        </is>
      </c>
      <c r="J4437" s="12" t="inlineStr">
        <is>
          <t>Control cable 600 V Type TC-ER, Cu #14 AWG, PVC jacket</t>
        </is>
      </c>
      <c r="K4437" s="12" t="inlineStr">
        <is>
          <t>CT|12/C|14</t>
        </is>
      </c>
      <c r="L4437" s="12" t="inlineStr">
        <is>
          <t>12/C</t>
        </is>
      </c>
      <c r="M4437" s="12" t="inlineStr">
        <is>
          <t>14</t>
        </is>
      </c>
      <c r="N4437" s="12" t="n">
        <v>1</v>
      </c>
      <c r="O4437" s="12" t="n">
        <v>1</v>
      </c>
      <c r="P4437" s="12" t="n"/>
      <c r="Q4437" s="12" t="n"/>
      <c r="R4437" s="12" t="n"/>
      <c r="S4437" s="12" t="inlineStr">
        <is>
          <t>Duct bank</t>
        </is>
      </c>
      <c r="T4437" s="15" t="n">
        <v>159</v>
      </c>
      <c r="U4437" s="15" t="n">
        <v>32</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I-C-0197</t>
        </is>
      </c>
      <c r="B4438" s="12" t="inlineStr">
        <is>
          <t>I</t>
        </is>
      </c>
      <c r="C4438" s="12" t="inlineStr">
        <is>
          <t>Modular / portable power</t>
        </is>
      </c>
      <c r="D4438" s="12" t="inlineStr">
        <is>
          <t>Control</t>
        </is>
      </c>
      <c r="E4438" s="12" t="inlineStr"/>
      <c r="F4438" s="12" t="inlineStr">
        <is>
          <t>PCM: power control module</t>
        </is>
      </c>
      <c r="G4438" s="12" t="inlineStr"/>
      <c r="H4438" s="12" t="inlineStr">
        <is>
          <t>Reagent storage</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258</v>
      </c>
      <c r="U4438" s="15" t="n">
        <v>110</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I-C-0198</t>
        </is>
      </c>
      <c r="B4439" s="12" t="inlineStr">
        <is>
          <t>I</t>
        </is>
      </c>
      <c r="C4439" s="12" t="inlineStr">
        <is>
          <t>Modular / portable power</t>
        </is>
      </c>
      <c r="D4439" s="12" t="inlineStr">
        <is>
          <t>Motor 1 of 2: control / local station</t>
        </is>
      </c>
      <c r="E4439" s="12" t="inlineStr"/>
      <c r="F4439" s="12" t="inlineStr">
        <is>
          <t>SC-1 PCM + 15 kV GCB</t>
        </is>
      </c>
      <c r="G4439" s="12" t="inlineStr"/>
      <c r="H4439" s="12" t="inlineStr">
        <is>
          <t>SC-1 CEMS shelter</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5" t="n">
        <v>81</v>
      </c>
      <c r="U4439" s="15" t="n">
        <v>106</v>
      </c>
      <c r="V4439" s="15">
        <f>ROUNDUP((T4439+U4439+2*'Read Me'!$B$13)*(1+'Read Me'!$B$12),-1)</f>
        <v/>
      </c>
      <c r="W4439" s="15">
        <f>V4439*N4439*O4439</f>
        <v/>
      </c>
      <c r="X4439" s="12">
        <f>IF(LEFT(I4439,2)="MV",2*N4439*IF(L4439="1/C",O4439,1),0)</f>
        <v/>
      </c>
      <c r="Y4439" s="12">
        <f>IF(OR(LEFT(K4439,4)="LVAX",LEFT(K4439,6)="MV15AX",LEFT(K4439,4)="CTAX",LEFT(K4439,2)="W|"),2*N4439*O4439,0)</f>
        <v/>
      </c>
      <c r="Z4439" s="12" t="inlineStr"/>
      <c r="AA4439" s="12">
        <f>N4439*O4439</f>
        <v/>
      </c>
    </row>
    <row r="4440">
      <c r="A4440" s="12" t="inlineStr">
        <is>
          <t>I-C-0199</t>
        </is>
      </c>
      <c r="B4440" s="12" t="inlineStr">
        <is>
          <t>I</t>
        </is>
      </c>
      <c r="C4440" s="12" t="inlineStr">
        <is>
          <t>Modular / portable power</t>
        </is>
      </c>
      <c r="D4440" s="12" t="inlineStr">
        <is>
          <t>Motor 2 of 2: control / local station</t>
        </is>
      </c>
      <c r="E4440" s="12" t="inlineStr"/>
      <c r="F4440" s="12" t="inlineStr">
        <is>
          <t>SC-1 PCM + 15 kV GCB</t>
        </is>
      </c>
      <c r="G4440" s="12" t="inlineStr"/>
      <c r="H4440" s="12" t="inlineStr">
        <is>
          <t>SC-1 CEMS shelter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5" t="n">
        <v>81</v>
      </c>
      <c r="U4440" s="15" t="n">
        <v>106</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I-C-0200</t>
        </is>
      </c>
      <c r="B4441" s="12" t="inlineStr">
        <is>
          <t>I</t>
        </is>
      </c>
      <c r="C4441" s="12" t="inlineStr">
        <is>
          <t>Modular / portable power</t>
        </is>
      </c>
      <c r="D4441" s="12" t="inlineStr">
        <is>
          <t>SC-1 generator CT / VT secondaries to the PCM protection</t>
        </is>
      </c>
      <c r="E4441" s="12" t="inlineStr">
        <is>
          <t>SC-1</t>
        </is>
      </c>
      <c r="F4441" s="12" t="inlineStr">
        <is>
          <t>SC-1: aeroderivative simple-cycle unit (50 MW class)</t>
        </is>
      </c>
      <c r="G4441" s="12" t="inlineStr"/>
      <c r="H4441" s="12" t="inlineStr">
        <is>
          <t>SC-1 PCM + 15 kV GCB</t>
        </is>
      </c>
      <c r="I4441" s="12" t="inlineStr">
        <is>
          <t>Control</t>
        </is>
      </c>
      <c r="J4441" s="12" t="inlineStr">
        <is>
          <t>Control cable 600 V Type TC-ER, Cu #10 AWG (CT / VT circuits)</t>
        </is>
      </c>
      <c r="K4441" s="12" t="inlineStr">
        <is>
          <t>CTCT|12/C|10</t>
        </is>
      </c>
      <c r="L4441" s="12" t="inlineStr">
        <is>
          <t>12/C</t>
        </is>
      </c>
      <c r="M4441" s="12" t="inlineStr">
        <is>
          <t>10</t>
        </is>
      </c>
      <c r="N4441" s="12" t="n">
        <v>2</v>
      </c>
      <c r="O4441" s="12" t="n">
        <v>1</v>
      </c>
      <c r="P4441" s="12" t="n"/>
      <c r="Q4441" s="12" t="n"/>
      <c r="R4441" s="12" t="n"/>
      <c r="S4441" s="12" t="inlineStr">
        <is>
          <t>Tray</t>
        </is>
      </c>
      <c r="T4441" s="15" t="n">
        <v>6</v>
      </c>
      <c r="U4441" s="15" t="n">
        <v>61</v>
      </c>
      <c r="V4441" s="15">
        <f>ROUNDUP((T4441+U4441+2*'Read Me'!$B$13)*(1+'Read Me'!$B$12),-1)</f>
        <v/>
      </c>
      <c r="W4441" s="15">
        <f>V4441*N4441*O4441</f>
        <v/>
      </c>
      <c r="X4441" s="12">
        <f>IF(LEFT(I4441,2)="MV",2*N4441*IF(L4441="1/C",O4441,1),0)</f>
        <v/>
      </c>
      <c r="Y4441" s="12">
        <f>IF(OR(LEFT(K4441,4)="LVAX",LEFT(K4441,6)="MV15AX",LEFT(K4441,4)="CTAX",LEFT(K4441,2)="W|"),2*N4441*O4441,0)</f>
        <v/>
      </c>
      <c r="Z4441" s="12" t="inlineStr">
        <is>
          <t>line-side and neutral CTs, VTs in the terminal box</t>
        </is>
      </c>
      <c r="AA4441" s="12">
        <f>N4441*O4441</f>
        <v/>
      </c>
    </row>
    <row r="4442">
      <c r="A4442" s="12" t="inlineStr">
        <is>
          <t>I-C-0201</t>
        </is>
      </c>
      <c r="B4442" s="12" t="inlineStr">
        <is>
          <t>I</t>
        </is>
      </c>
      <c r="C4442" s="12" t="inlineStr">
        <is>
          <t>Modular / portable power</t>
        </is>
      </c>
      <c r="D4442" s="12" t="inlineStr">
        <is>
          <t>Motor 1 of 2: control / local station</t>
        </is>
      </c>
      <c r="E4442" s="12" t="inlineStr"/>
      <c r="F4442" s="12" t="inlineStr">
        <is>
          <t>SC-1 PCM + 15 kV GCB</t>
        </is>
      </c>
      <c r="G4442" s="12" t="inlineStr"/>
      <c r="H4442" s="12" t="inlineStr">
        <is>
          <t>SC-1 ammonia flow-control unit</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5" t="n">
        <v>55</v>
      </c>
      <c r="U4442" s="15" t="n">
        <v>55</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I-C-0202</t>
        </is>
      </c>
      <c r="B4443" s="12" t="inlineStr">
        <is>
          <t>I</t>
        </is>
      </c>
      <c r="C4443" s="12" t="inlineStr">
        <is>
          <t>Modular / portable power</t>
        </is>
      </c>
      <c r="D4443" s="12" t="inlineStr">
        <is>
          <t>Motor 2 of 2: control / local station</t>
        </is>
      </c>
      <c r="E4443" s="12" t="inlineStr"/>
      <c r="F4443" s="12" t="inlineStr">
        <is>
          <t>SC-1 PCM + 15 kV GCB</t>
        </is>
      </c>
      <c r="G4443" s="12" t="inlineStr"/>
      <c r="H4443" s="12" t="inlineStr">
        <is>
          <t>SC-1 ammonia flow-control unit</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5" t="n">
        <v>55</v>
      </c>
      <c r="U4443" s="15" t="n">
        <v>55</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I-C-0203</t>
        </is>
      </c>
      <c r="B4444" s="12" t="inlineStr">
        <is>
          <t>I</t>
        </is>
      </c>
      <c r="C4444" s="12" t="inlineStr">
        <is>
          <t>Modular / portable power</t>
        </is>
      </c>
      <c r="D4444" s="12" t="inlineStr">
        <is>
          <t>Solenoid to JB JB-SC-1 ammonia flow--SOL01: 4 x 2/C (field cables)</t>
        </is>
      </c>
      <c r="E4444" s="12" t="inlineStr"/>
      <c r="F4444" s="12" t="inlineStr">
        <is>
          <t>SC-1 ammonia flow-control unit</t>
        </is>
      </c>
      <c r="G4444" s="12" t="inlineStr">
        <is>
          <t>JB-SC-1 ammonia flow--SOL01</t>
        </is>
      </c>
      <c r="H4444" s="12" t="inlineStr">
        <is>
          <t>SC-1 ammonia flow-control unit</t>
        </is>
      </c>
      <c r="I4444" s="12" t="inlineStr">
        <is>
          <t>Control</t>
        </is>
      </c>
      <c r="J4444" s="12" t="inlineStr">
        <is>
          <t>Control cable 600 V Type TC-ER, Cu #14 AWG, PVC jacket</t>
        </is>
      </c>
      <c r="K4444" s="12" t="inlineStr">
        <is>
          <t>CT|2/C|14</t>
        </is>
      </c>
      <c r="L4444" s="12" t="inlineStr">
        <is>
          <t>2/C</t>
        </is>
      </c>
      <c r="M4444" s="12" t="inlineStr">
        <is>
          <t>14</t>
        </is>
      </c>
      <c r="N4444" s="12" t="n">
        <v>4</v>
      </c>
      <c r="O4444" s="12" t="n">
        <v>1</v>
      </c>
      <c r="P4444" s="12" t="n"/>
      <c r="Q4444" s="12" t="n"/>
      <c r="R4444" s="12" t="n"/>
      <c r="S4444" s="12" t="inlineStr">
        <is>
          <t>Tray / conduit</t>
        </is>
      </c>
      <c r="T4444" s="15" t="n">
        <v>40</v>
      </c>
      <c r="U4444" s="15" t="n">
        <v>10</v>
      </c>
      <c r="V4444" s="15">
        <f>ROUNDUP((T4444+U4444+2*'Read Me'!$B$13)*(1+'Read Me'!$B$12),-1)</f>
        <v/>
      </c>
      <c r="W4444" s="15">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I-C-0204</t>
        </is>
      </c>
      <c r="B4445" s="12" t="inlineStr">
        <is>
          <t>I</t>
        </is>
      </c>
      <c r="C4445" s="12" t="inlineStr">
        <is>
          <t>Modular / portable power</t>
        </is>
      </c>
      <c r="D4445" s="12" t="inlineStr">
        <is>
          <t>Home run JB-SC-1 ammonia flow--SOL01 to the control / marshalling room</t>
        </is>
      </c>
      <c r="E4445" s="12" t="inlineStr"/>
      <c r="F4445" s="12" t="inlineStr">
        <is>
          <t>SC-1 PCM + 15 kV GCB</t>
        </is>
      </c>
      <c r="G4445" s="12" t="inlineStr">
        <is>
          <t>JB-SC-1 ammonia flow--SOL01</t>
        </is>
      </c>
      <c r="H4445" s="12" t="inlineStr">
        <is>
          <t>SC-1 ammonia flow-control unit</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Duct bank</t>
        </is>
      </c>
      <c r="T4445" s="15" t="n">
        <v>55</v>
      </c>
      <c r="U4445" s="15" t="n">
        <v>55</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I-C-0205</t>
        </is>
      </c>
      <c r="B4446" s="12" t="inlineStr">
        <is>
          <t>I</t>
        </is>
      </c>
      <c r="C4446" s="12" t="inlineStr">
        <is>
          <t>Modular / portable power</t>
        </is>
      </c>
      <c r="D4446" s="12" t="inlineStr">
        <is>
          <t>Motor 1 of 1: control / local station</t>
        </is>
      </c>
      <c r="E4446" s="12" t="inlineStr"/>
      <c r="F4446" s="12" t="inlineStr">
        <is>
          <t>SC-1 PCM + 15 kV GCB</t>
        </is>
      </c>
      <c r="G4446" s="12" t="inlineStr"/>
      <c r="H4446" s="12" t="inlineStr">
        <is>
          <t>SC-1 auxiliary skids: fuel-gas module, water-wash skid</t>
        </is>
      </c>
      <c r="I4446" s="12" t="inlineStr">
        <is>
          <t>Control</t>
        </is>
      </c>
      <c r="J4446" s="12" t="inlineStr">
        <is>
          <t>ARMOR-X MC-HL 600 V control, Cu #14 AWG (Class I Div 2)</t>
        </is>
      </c>
      <c r="K4446" s="12" t="inlineStr">
        <is>
          <t>CTAX|7/C|14</t>
        </is>
      </c>
      <c r="L4446" s="12" t="inlineStr">
        <is>
          <t>7/C</t>
        </is>
      </c>
      <c r="M4446" s="12" t="inlineStr">
        <is>
          <t>14</t>
        </is>
      </c>
      <c r="N4446" s="12" t="n">
        <v>1</v>
      </c>
      <c r="O4446" s="12" t="n">
        <v>1</v>
      </c>
      <c r="P4446" s="12" t="n"/>
      <c r="Q4446" s="12" t="n"/>
      <c r="R4446" s="12" t="n"/>
      <c r="S4446" s="12" t="inlineStr">
        <is>
          <t>Tray</t>
        </is>
      </c>
      <c r="T4446" s="15" t="n">
        <v>5</v>
      </c>
      <c r="U4446" s="15" t="n">
        <v>49</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I-C-0206</t>
        </is>
      </c>
      <c r="B4447" s="12" t="inlineStr">
        <is>
          <t>I</t>
        </is>
      </c>
      <c r="C4447" s="12" t="inlineStr">
        <is>
          <t>Modular / portable power</t>
        </is>
      </c>
      <c r="D4447" s="12" t="inlineStr">
        <is>
          <t>Solenoid to JB JB-SC-1 auxiliary ski-SOL01: 4 x 2/C (field cables)</t>
        </is>
      </c>
      <c r="E4447" s="12" t="inlineStr"/>
      <c r="F4447" s="12" t="inlineStr">
        <is>
          <t>SC-1 auxiliary skids: fuel-gas module, water-wash skid</t>
        </is>
      </c>
      <c r="G4447" s="12" t="inlineStr">
        <is>
          <t>JB-SC-1 auxiliary ski-SOL01</t>
        </is>
      </c>
      <c r="H4447" s="12" t="inlineStr">
        <is>
          <t>SC-1 auxiliary skids: fuel-gas module, water-wash skid</t>
        </is>
      </c>
      <c r="I4447" s="12" t="inlineStr">
        <is>
          <t>Control</t>
        </is>
      </c>
      <c r="J4447" s="12" t="inlineStr">
        <is>
          <t>ARMOR-X MC-HL 600 V control, Cu #14 AWG (Class I Div 2)</t>
        </is>
      </c>
      <c r="K4447" s="12" t="inlineStr">
        <is>
          <t>CTAX|2/C|14</t>
        </is>
      </c>
      <c r="L4447" s="12" t="inlineStr">
        <is>
          <t>2/C</t>
        </is>
      </c>
      <c r="M4447" s="12" t="inlineStr">
        <is>
          <t>14</t>
        </is>
      </c>
      <c r="N4447" s="12" t="n">
        <v>4</v>
      </c>
      <c r="O4447" s="12" t="n">
        <v>1</v>
      </c>
      <c r="P4447" s="12" t="n"/>
      <c r="Q4447" s="12" t="n"/>
      <c r="R4447" s="12" t="n"/>
      <c r="S4447" s="12" t="inlineStr">
        <is>
          <t>Tray / conduit</t>
        </is>
      </c>
      <c r="T4447" s="15" t="n">
        <v>63</v>
      </c>
      <c r="U4447" s="15" t="n">
        <v>10</v>
      </c>
      <c r="V4447" s="15">
        <f>ROUNDUP((T4447+U4447+2*'Read Me'!$B$13)*(1+'Read Me'!$B$12),-1)</f>
        <v/>
      </c>
      <c r="W4447" s="15">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I-C-0207</t>
        </is>
      </c>
      <c r="B4448" s="12" t="inlineStr">
        <is>
          <t>I</t>
        </is>
      </c>
      <c r="C4448" s="12" t="inlineStr">
        <is>
          <t>Modular / portable power</t>
        </is>
      </c>
      <c r="D4448" s="12" t="inlineStr">
        <is>
          <t>Home run JB-SC-1 auxiliary ski-SOL01 to the control / marshalling room</t>
        </is>
      </c>
      <c r="E4448" s="12" t="inlineStr"/>
      <c r="F4448" s="12" t="inlineStr">
        <is>
          <t>SC-1 PCM + 15 kV GCB</t>
        </is>
      </c>
      <c r="G4448" s="12" t="inlineStr">
        <is>
          <t>JB-SC-1 auxiliary ski-SOL01</t>
        </is>
      </c>
      <c r="H4448" s="12" t="inlineStr">
        <is>
          <t>SC-1 auxiliary skids: fuel-gas module, water-wash skid</t>
        </is>
      </c>
      <c r="I4448" s="12" t="inlineStr">
        <is>
          <t>Control</t>
        </is>
      </c>
      <c r="J4448" s="12" t="inlineStr">
        <is>
          <t>ARMOR-X MC-HL 600 V control, Cu #14 AWG (Class I Div 2)</t>
        </is>
      </c>
      <c r="K4448" s="12" t="inlineStr">
        <is>
          <t>CTAX|25/C|14</t>
        </is>
      </c>
      <c r="L4448" s="12" t="inlineStr">
        <is>
          <t>25/C</t>
        </is>
      </c>
      <c r="M4448" s="12" t="inlineStr">
        <is>
          <t>14</t>
        </is>
      </c>
      <c r="N4448" s="12" t="n">
        <v>1</v>
      </c>
      <c r="O4448" s="12" t="n">
        <v>1</v>
      </c>
      <c r="P4448" s="12" t="n"/>
      <c r="Q4448" s="12" t="n"/>
      <c r="R4448" s="12" t="n"/>
      <c r="S4448" s="12" t="inlineStr">
        <is>
          <t>Tray</t>
        </is>
      </c>
      <c r="T4448" s="15" t="n">
        <v>5</v>
      </c>
      <c r="U4448" s="15" t="n">
        <v>49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I-C-0208</t>
        </is>
      </c>
      <c r="B4449" s="12" t="inlineStr">
        <is>
          <t>I</t>
        </is>
      </c>
      <c r="C4449" s="12" t="inlineStr">
        <is>
          <t>Modular / portable power</t>
        </is>
      </c>
      <c r="D4449" s="12" t="inlineStr">
        <is>
          <t>Motor 1 of 4: control / local station</t>
        </is>
      </c>
      <c r="E4449" s="12" t="inlineStr"/>
      <c r="F4449" s="12" t="inlineStr">
        <is>
          <t>SC-1 PCM + 15 kV GCB</t>
        </is>
      </c>
      <c r="G4449" s="12" t="inlineStr"/>
      <c r="H4449" s="12" t="inlineStr">
        <is>
          <t>SC-1 lube-oil fin-fan cooler</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Riser</t>
        </is>
      </c>
      <c r="T4449" s="15" t="n">
        <v>9</v>
      </c>
      <c r="U4449" s="15" t="n">
        <v>33</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I-C-0209</t>
        </is>
      </c>
      <c r="B4450" s="12" t="inlineStr">
        <is>
          <t>I</t>
        </is>
      </c>
      <c r="C4450" s="12" t="inlineStr">
        <is>
          <t>Modular / portable power</t>
        </is>
      </c>
      <c r="D4450" s="12" t="inlineStr">
        <is>
          <t>Motor 2 of 4: control / local station</t>
        </is>
      </c>
      <c r="E4450" s="12" t="inlineStr"/>
      <c r="F4450" s="12" t="inlineStr">
        <is>
          <t>SC-1 PCM + 15 kV GCB</t>
        </is>
      </c>
      <c r="G4450" s="12" t="inlineStr"/>
      <c r="H4450" s="12" t="inlineStr">
        <is>
          <t>SC-1 lube-oil fin-fan cooler</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Riser</t>
        </is>
      </c>
      <c r="T4450" s="15" t="n">
        <v>9</v>
      </c>
      <c r="U4450" s="15" t="n">
        <v>33</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I-C-0210</t>
        </is>
      </c>
      <c r="B4451" s="12" t="inlineStr">
        <is>
          <t>I</t>
        </is>
      </c>
      <c r="C4451" s="12" t="inlineStr">
        <is>
          <t>Modular / portable power</t>
        </is>
      </c>
      <c r="D4451" s="12" t="inlineStr">
        <is>
          <t>Motor 3 of 4: control / local station</t>
        </is>
      </c>
      <c r="E4451" s="12" t="inlineStr"/>
      <c r="F4451" s="12" t="inlineStr">
        <is>
          <t>SC-1 PCM + 15 kV GCB</t>
        </is>
      </c>
      <c r="G4451" s="12" t="inlineStr"/>
      <c r="H4451" s="12" t="inlineStr">
        <is>
          <t>SC-1 lube-oil fin-fan cooler</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Riser</t>
        </is>
      </c>
      <c r="T4451" s="15" t="n">
        <v>9</v>
      </c>
      <c r="U4451" s="15" t="n">
        <v>33</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I-C-0211</t>
        </is>
      </c>
      <c r="B4452" s="12" t="inlineStr">
        <is>
          <t>I</t>
        </is>
      </c>
      <c r="C4452" s="12" t="inlineStr">
        <is>
          <t>Modular / portable power</t>
        </is>
      </c>
      <c r="D4452" s="12" t="inlineStr">
        <is>
          <t>Motor 4 of 4: control / local station</t>
        </is>
      </c>
      <c r="E4452" s="12" t="inlineStr"/>
      <c r="F4452" s="12" t="inlineStr">
        <is>
          <t>SC-1 PCM + 15 kV GCB</t>
        </is>
      </c>
      <c r="G4452" s="12" t="inlineStr"/>
      <c r="H4452" s="12" t="inlineStr">
        <is>
          <t>SC-1 lube-oil fin-fan cooler</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Riser</t>
        </is>
      </c>
      <c r="T4452" s="15" t="n">
        <v>9</v>
      </c>
      <c r="U4452" s="15" t="n">
        <v>33</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I-C-0212</t>
        </is>
      </c>
      <c r="B4453" s="12" t="inlineStr">
        <is>
          <t>I</t>
        </is>
      </c>
      <c r="C4453" s="12" t="inlineStr">
        <is>
          <t>Modular / portable power</t>
        </is>
      </c>
      <c r="D4453" s="12" t="inlineStr">
        <is>
          <t>Motor 1 of 2: control / local station</t>
        </is>
      </c>
      <c r="E4453" s="12" t="inlineStr"/>
      <c r="F4453" s="12" t="inlineStr">
        <is>
          <t>SC-1 PCM + 15 kV GCB</t>
        </is>
      </c>
      <c r="G4453" s="12" t="inlineStr"/>
      <c r="H4453" s="12" t="inlineStr">
        <is>
          <t>SC-1 tempering-air fans (2 x 100 %)</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5" t="n">
        <v>15</v>
      </c>
      <c r="U4453" s="15" t="n">
        <v>99</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I-C-0213</t>
        </is>
      </c>
      <c r="B4454" s="12" t="inlineStr">
        <is>
          <t>I</t>
        </is>
      </c>
      <c r="C4454" s="12" t="inlineStr">
        <is>
          <t>Modular / portable power</t>
        </is>
      </c>
      <c r="D4454" s="12" t="inlineStr">
        <is>
          <t>Motor 2 of 2: control / local station</t>
        </is>
      </c>
      <c r="E4454" s="12" t="inlineStr"/>
      <c r="F4454" s="12" t="inlineStr">
        <is>
          <t>SC-1 PCM + 15 kV GCB</t>
        </is>
      </c>
      <c r="G4454" s="12" t="inlineStr"/>
      <c r="H4454" s="12" t="inlineStr">
        <is>
          <t>SC-1 tempering-air fans (2 x 100 %)</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5" t="n">
        <v>15</v>
      </c>
      <c r="U4454" s="15" t="n">
        <v>99</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I-C-0214</t>
        </is>
      </c>
      <c r="B4455" s="12" t="inlineStr">
        <is>
          <t>I</t>
        </is>
      </c>
      <c r="C4455" s="12" t="inlineStr">
        <is>
          <t>Modular / portable power</t>
        </is>
      </c>
      <c r="D4455" s="12" t="inlineStr">
        <is>
          <t>Motor 1 of 10: control / local station</t>
        </is>
      </c>
      <c r="E4455" s="12" t="inlineStr"/>
      <c r="F4455" s="12" t="inlineStr">
        <is>
          <t>SC-1 PCM + 15 kV GCB</t>
        </is>
      </c>
      <c r="G4455" s="12" t="inlineStr">
        <is>
          <t>SC-1</t>
        </is>
      </c>
      <c r="H4455" s="12" t="inlineStr">
        <is>
          <t>SC-1: aeroderivative simple-cycle unit (50 MW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I-C-0215</t>
        </is>
      </c>
      <c r="B4456" s="12" t="inlineStr">
        <is>
          <t>I</t>
        </is>
      </c>
      <c r="C4456" s="12" t="inlineStr">
        <is>
          <t>Modular / portable power</t>
        </is>
      </c>
      <c r="D4456" s="12" t="inlineStr">
        <is>
          <t>Motor 2 of 10: control / local station</t>
        </is>
      </c>
      <c r="E4456" s="12" t="inlineStr"/>
      <c r="F4456" s="12" t="inlineStr">
        <is>
          <t>SC-1 PCM + 15 kV GCB</t>
        </is>
      </c>
      <c r="G4456" s="12" t="inlineStr">
        <is>
          <t>SC-1</t>
        </is>
      </c>
      <c r="H4456" s="12" t="inlineStr">
        <is>
          <t>SC-1: aeroderivative simple-cycle unit (50 MW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I-C-0216</t>
        </is>
      </c>
      <c r="B4457" s="12" t="inlineStr">
        <is>
          <t>I</t>
        </is>
      </c>
      <c r="C4457" s="12" t="inlineStr">
        <is>
          <t>Modular / portable power</t>
        </is>
      </c>
      <c r="D4457" s="12" t="inlineStr">
        <is>
          <t>Motor 3 of 10: control / local station</t>
        </is>
      </c>
      <c r="E4457" s="12" t="inlineStr"/>
      <c r="F4457" s="12" t="inlineStr">
        <is>
          <t>SC-1 PCM + 15 kV GCB</t>
        </is>
      </c>
      <c r="G4457" s="12" t="inlineStr">
        <is>
          <t>SC-1</t>
        </is>
      </c>
      <c r="H4457" s="12" t="inlineStr">
        <is>
          <t>SC-1: aeroderivative simple-cycle unit (50 MW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I-C-0217</t>
        </is>
      </c>
      <c r="B4458" s="12" t="inlineStr">
        <is>
          <t>I</t>
        </is>
      </c>
      <c r="C4458" s="12" t="inlineStr">
        <is>
          <t>Modular / portable power</t>
        </is>
      </c>
      <c r="D4458" s="12" t="inlineStr">
        <is>
          <t>Motor 4 of 10: control / local station</t>
        </is>
      </c>
      <c r="E4458" s="12" t="inlineStr"/>
      <c r="F4458" s="12" t="inlineStr">
        <is>
          <t>SC-1 PCM + 15 kV GCB</t>
        </is>
      </c>
      <c r="G4458" s="12" t="inlineStr">
        <is>
          <t>SC-1</t>
        </is>
      </c>
      <c r="H4458" s="12" t="inlineStr">
        <is>
          <t>SC-1: aeroderivative simple-cycle unit (50 MW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I-C-0218</t>
        </is>
      </c>
      <c r="B4459" s="12" t="inlineStr">
        <is>
          <t>I</t>
        </is>
      </c>
      <c r="C4459" s="12" t="inlineStr">
        <is>
          <t>Modular / portable power</t>
        </is>
      </c>
      <c r="D4459" s="12" t="inlineStr">
        <is>
          <t>Motor 5 of 10: control / local station</t>
        </is>
      </c>
      <c r="E4459" s="12" t="inlineStr"/>
      <c r="F4459" s="12" t="inlineStr">
        <is>
          <t>SC-1 PCM + 15 kV GCB</t>
        </is>
      </c>
      <c r="G4459" s="12" t="inlineStr">
        <is>
          <t>SC-1</t>
        </is>
      </c>
      <c r="H4459" s="12" t="inlineStr">
        <is>
          <t>SC-1: aeroderivative simple-cycle unit (50 MW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I-C-0219</t>
        </is>
      </c>
      <c r="B4460" s="12" t="inlineStr">
        <is>
          <t>I</t>
        </is>
      </c>
      <c r="C4460" s="12" t="inlineStr">
        <is>
          <t>Modular / portable power</t>
        </is>
      </c>
      <c r="D4460" s="12" t="inlineStr">
        <is>
          <t>Motor 6 of 10: control / local station</t>
        </is>
      </c>
      <c r="E4460" s="12" t="inlineStr"/>
      <c r="F4460" s="12" t="inlineStr">
        <is>
          <t>SC-1 PCM + 15 kV GCB</t>
        </is>
      </c>
      <c r="G4460" s="12" t="inlineStr">
        <is>
          <t>SC-1</t>
        </is>
      </c>
      <c r="H4460" s="12" t="inlineStr">
        <is>
          <t>SC-1: aeroderivative simple-cycle unit (50 MW class)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Tray</t>
        </is>
      </c>
      <c r="T4460" s="15" t="n">
        <v>5</v>
      </c>
      <c r="U4460" s="15" t="n">
        <v>62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I-C-0220</t>
        </is>
      </c>
      <c r="B4461" s="12" t="inlineStr">
        <is>
          <t>I</t>
        </is>
      </c>
      <c r="C4461" s="12" t="inlineStr">
        <is>
          <t>Modular / portable power</t>
        </is>
      </c>
      <c r="D4461" s="12" t="inlineStr">
        <is>
          <t>Motor 7 of 10: control / local station</t>
        </is>
      </c>
      <c r="E4461" s="12" t="inlineStr"/>
      <c r="F4461" s="12" t="inlineStr">
        <is>
          <t>SC-1 PCM + 15 kV GCB</t>
        </is>
      </c>
      <c r="G4461" s="12" t="inlineStr">
        <is>
          <t>SC-1</t>
        </is>
      </c>
      <c r="H4461" s="12" t="inlineStr">
        <is>
          <t>SC-1: aeroderivative simple-cycle unit (50 MW class)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Tray</t>
        </is>
      </c>
      <c r="T4461" s="15" t="n">
        <v>5</v>
      </c>
      <c r="U4461" s="15" t="n">
        <v>62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I-C-0221</t>
        </is>
      </c>
      <c r="B4462" s="12" t="inlineStr">
        <is>
          <t>I</t>
        </is>
      </c>
      <c r="C4462" s="12" t="inlineStr">
        <is>
          <t>Modular / portable power</t>
        </is>
      </c>
      <c r="D4462" s="12" t="inlineStr">
        <is>
          <t>Motor 8 of 10: control / local station</t>
        </is>
      </c>
      <c r="E4462" s="12" t="inlineStr"/>
      <c r="F4462" s="12" t="inlineStr">
        <is>
          <t>SC-1 PCM + 15 kV GCB</t>
        </is>
      </c>
      <c r="G4462" s="12" t="inlineStr">
        <is>
          <t>SC-1</t>
        </is>
      </c>
      <c r="H4462" s="12" t="inlineStr">
        <is>
          <t>SC-1: aeroderivative simple-cycle unit (50 MW class)</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Tray</t>
        </is>
      </c>
      <c r="T4462" s="15" t="n">
        <v>5</v>
      </c>
      <c r="U4462" s="15" t="n">
        <v>62</v>
      </c>
      <c r="V4462" s="15">
        <f>ROUNDUP((T4462+U4462+2*'Read Me'!$B$13)*(1+'Read Me'!$B$12),-1)</f>
        <v/>
      </c>
      <c r="W4462" s="15">
        <f>V4462*N4462*O4462</f>
        <v/>
      </c>
      <c r="X4462" s="12">
        <f>IF(LEFT(I4462,2)="MV",2*N4462*IF(L4462="1/C",O4462,1),0)</f>
        <v/>
      </c>
      <c r="Y4462" s="12">
        <f>IF(OR(LEFT(K4462,4)="LVAX",LEFT(K4462,6)="MV15AX",LEFT(K4462,4)="CTAX",LEFT(K4462,2)="W|"),2*N4462*O4462,0)</f>
        <v/>
      </c>
      <c r="Z4462" s="12" t="inlineStr"/>
      <c r="AA4462" s="12">
        <f>N4462*O4462</f>
        <v/>
      </c>
    </row>
    <row r="4463">
      <c r="A4463" s="12" t="inlineStr">
        <is>
          <t>I-C-0222</t>
        </is>
      </c>
      <c r="B4463" s="12" t="inlineStr">
        <is>
          <t>I</t>
        </is>
      </c>
      <c r="C4463" s="12" t="inlineStr">
        <is>
          <t>Modular / portable power</t>
        </is>
      </c>
      <c r="D4463" s="12" t="inlineStr">
        <is>
          <t>Motor 9 of 10: control / local station</t>
        </is>
      </c>
      <c r="E4463" s="12" t="inlineStr"/>
      <c r="F4463" s="12" t="inlineStr">
        <is>
          <t>SC-1 PCM + 15 kV GCB</t>
        </is>
      </c>
      <c r="G4463" s="12" t="inlineStr">
        <is>
          <t>SC-1</t>
        </is>
      </c>
      <c r="H4463" s="12" t="inlineStr">
        <is>
          <t>SC-1: aeroderivative simple-cycle unit (50 MW class)</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Tray</t>
        </is>
      </c>
      <c r="T4463" s="15" t="n">
        <v>5</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I-C-0223</t>
        </is>
      </c>
      <c r="B4464" s="12" t="inlineStr">
        <is>
          <t>I</t>
        </is>
      </c>
      <c r="C4464" s="12" t="inlineStr">
        <is>
          <t>Modular / portable power</t>
        </is>
      </c>
      <c r="D4464" s="12" t="inlineStr">
        <is>
          <t>Motor 10 of 10: control / local station</t>
        </is>
      </c>
      <c r="E4464" s="12" t="inlineStr"/>
      <c r="F4464" s="12" t="inlineStr">
        <is>
          <t>SC-1 PCM + 15 kV GCB</t>
        </is>
      </c>
      <c r="G4464" s="12" t="inlineStr">
        <is>
          <t>SC-1</t>
        </is>
      </c>
      <c r="H4464" s="12" t="inlineStr">
        <is>
          <t>SC-1: aeroderivative simple-cycle unit (50 MW class)</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Tray</t>
        </is>
      </c>
      <c r="T4464" s="15" t="n">
        <v>5</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I-C-0224</t>
        </is>
      </c>
      <c r="B4465" s="12" t="inlineStr">
        <is>
          <t>I</t>
        </is>
      </c>
      <c r="C4465" s="12" t="inlineStr">
        <is>
          <t>Modular / portable power</t>
        </is>
      </c>
      <c r="D4465" s="12" t="inlineStr">
        <is>
          <t>Motor 1 of 2: control / local station</t>
        </is>
      </c>
      <c r="E4465" s="12" t="inlineStr"/>
      <c r="F4465" s="12" t="inlineStr">
        <is>
          <t>SC-2 PCM + 15 kV GCB</t>
        </is>
      </c>
      <c r="G4465" s="12" t="inlineStr"/>
      <c r="H4465" s="12" t="inlineStr">
        <is>
          <t>SC-2 CEMS shelter</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5" t="n">
        <v>74</v>
      </c>
      <c r="U4465" s="15" t="n">
        <v>112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I-C-0225</t>
        </is>
      </c>
      <c r="B4466" s="12" t="inlineStr">
        <is>
          <t>I</t>
        </is>
      </c>
      <c r="C4466" s="12" t="inlineStr">
        <is>
          <t>Modular / portable power</t>
        </is>
      </c>
      <c r="D4466" s="12" t="inlineStr">
        <is>
          <t>Motor 2 of 2: control / local station</t>
        </is>
      </c>
      <c r="E4466" s="12" t="inlineStr"/>
      <c r="F4466" s="12" t="inlineStr">
        <is>
          <t>SC-2 PCM + 15 kV GCB</t>
        </is>
      </c>
      <c r="G4466" s="12" t="inlineStr"/>
      <c r="H4466" s="12" t="inlineStr">
        <is>
          <t>SC-2 CEMS shelter</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5" t="n">
        <v>74</v>
      </c>
      <c r="U4466" s="15" t="n">
        <v>112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I-C-0226</t>
        </is>
      </c>
      <c r="B4467" s="12" t="inlineStr">
        <is>
          <t>I</t>
        </is>
      </c>
      <c r="C4467" s="12" t="inlineStr">
        <is>
          <t>Modular / portable power</t>
        </is>
      </c>
      <c r="D4467" s="12" t="inlineStr">
        <is>
          <t>SC-2 generator CT / VT secondaries to the PCM protection</t>
        </is>
      </c>
      <c r="E4467" s="12" t="inlineStr">
        <is>
          <t>SC-2</t>
        </is>
      </c>
      <c r="F4467" s="12" t="inlineStr">
        <is>
          <t>SC-2: aeroderivative simple-cycle unit (50 MW class)</t>
        </is>
      </c>
      <c r="G4467" s="12" t="inlineStr"/>
      <c r="H4467" s="12" t="inlineStr">
        <is>
          <t>SC-2 PCM + 15 kV GCB</t>
        </is>
      </c>
      <c r="I4467" s="12" t="inlineStr">
        <is>
          <t>Control</t>
        </is>
      </c>
      <c r="J4467" s="12" t="inlineStr">
        <is>
          <t>Control cable 600 V Type TC-ER, Cu #10 AWG (CT / VT circuits)</t>
        </is>
      </c>
      <c r="K4467" s="12" t="inlineStr">
        <is>
          <t>CTCT|12/C|10</t>
        </is>
      </c>
      <c r="L4467" s="12" t="inlineStr">
        <is>
          <t>12/C</t>
        </is>
      </c>
      <c r="M4467" s="12" t="inlineStr">
        <is>
          <t>10</t>
        </is>
      </c>
      <c r="N4467" s="12" t="n">
        <v>2</v>
      </c>
      <c r="O4467" s="12" t="n">
        <v>1</v>
      </c>
      <c r="P4467" s="12" t="n"/>
      <c r="Q4467" s="12" t="n"/>
      <c r="R4467" s="12" t="n"/>
      <c r="S4467" s="12" t="inlineStr">
        <is>
          <t>Duct bank</t>
        </is>
      </c>
      <c r="T4467" s="15" t="n">
        <v>35</v>
      </c>
      <c r="U4467" s="15" t="n">
        <v>32</v>
      </c>
      <c r="V4467" s="15">
        <f>ROUNDUP((T4467+U4467+2*'Read Me'!$B$13)*(1+'Read Me'!$B$12),-1)</f>
        <v/>
      </c>
      <c r="W4467" s="15">
        <f>V4467*N4467*O4467</f>
        <v/>
      </c>
      <c r="X4467" s="12">
        <f>IF(LEFT(I4467,2)="MV",2*N4467*IF(L4467="1/C",O4467,1),0)</f>
        <v/>
      </c>
      <c r="Y4467" s="12">
        <f>IF(OR(LEFT(K4467,4)="LVAX",LEFT(K4467,6)="MV15AX",LEFT(K4467,4)="CTAX",LEFT(K4467,2)="W|"),2*N4467*O4467,0)</f>
        <v/>
      </c>
      <c r="Z4467" s="12" t="inlineStr">
        <is>
          <t>line-side and neutral CTs, VTs in the terminal box</t>
        </is>
      </c>
      <c r="AA4467" s="12">
        <f>N4467*O4467</f>
        <v/>
      </c>
    </row>
    <row r="4468">
      <c r="A4468" s="12" t="inlineStr">
        <is>
          <t>I-C-0227</t>
        </is>
      </c>
      <c r="B4468" s="12" t="inlineStr">
        <is>
          <t>I</t>
        </is>
      </c>
      <c r="C4468" s="12" t="inlineStr">
        <is>
          <t>Modular / portable power</t>
        </is>
      </c>
      <c r="D4468" s="12" t="inlineStr">
        <is>
          <t>Motor 1 of 2: control / local station</t>
        </is>
      </c>
      <c r="E4468" s="12" t="inlineStr"/>
      <c r="F4468" s="12" t="inlineStr">
        <is>
          <t>SC-2 PCM + 15 kV GCB</t>
        </is>
      </c>
      <c r="G4468" s="12" t="inlineStr"/>
      <c r="H4468" s="12" t="inlineStr">
        <is>
          <t>SC-2 ammonia flow-control unit</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5" t="n">
        <v>48</v>
      </c>
      <c r="U4468" s="15" t="n">
        <v>62</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I-C-0228</t>
        </is>
      </c>
      <c r="B4469" s="12" t="inlineStr">
        <is>
          <t>I</t>
        </is>
      </c>
      <c r="C4469" s="12" t="inlineStr">
        <is>
          <t>Modular / portable power</t>
        </is>
      </c>
      <c r="D4469" s="12" t="inlineStr">
        <is>
          <t>Motor 2 of 2: control / local station</t>
        </is>
      </c>
      <c r="E4469" s="12" t="inlineStr"/>
      <c r="F4469" s="12" t="inlineStr">
        <is>
          <t>SC-2 PCM + 15 kV GCB</t>
        </is>
      </c>
      <c r="G4469" s="12" t="inlineStr"/>
      <c r="H4469" s="12" t="inlineStr">
        <is>
          <t>SC-2 ammonia flow-control unit</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5" t="n">
        <v>48</v>
      </c>
      <c r="U4469" s="15" t="n">
        <v>62</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I-C-0229</t>
        </is>
      </c>
      <c r="B4470" s="12" t="inlineStr">
        <is>
          <t>I</t>
        </is>
      </c>
      <c r="C4470" s="12" t="inlineStr">
        <is>
          <t>Modular / portable power</t>
        </is>
      </c>
      <c r="D4470" s="12" t="inlineStr">
        <is>
          <t>Solenoid to JB JB-SC-2 ammonia flow--SOL01: 4 x 2/C (field cables)</t>
        </is>
      </c>
      <c r="E4470" s="12" t="inlineStr"/>
      <c r="F4470" s="12" t="inlineStr">
        <is>
          <t>SC-2 ammonia flow-control unit</t>
        </is>
      </c>
      <c r="G4470" s="12" t="inlineStr">
        <is>
          <t>JB-SC-2 ammonia flow--SOL01</t>
        </is>
      </c>
      <c r="H4470" s="12" t="inlineStr">
        <is>
          <t>SC-2 ammonia flow-control unit</t>
        </is>
      </c>
      <c r="I4470" s="12" t="inlineStr">
        <is>
          <t>Control</t>
        </is>
      </c>
      <c r="J4470" s="12" t="inlineStr">
        <is>
          <t>Control cable 600 V Type TC-ER, Cu #14 AWG, PVC jacket</t>
        </is>
      </c>
      <c r="K4470" s="12" t="inlineStr">
        <is>
          <t>CT|2/C|14</t>
        </is>
      </c>
      <c r="L4470" s="12" t="inlineStr">
        <is>
          <t>2/C</t>
        </is>
      </c>
      <c r="M4470" s="12" t="inlineStr">
        <is>
          <t>14</t>
        </is>
      </c>
      <c r="N4470" s="12" t="n">
        <v>4</v>
      </c>
      <c r="O4470" s="12" t="n">
        <v>1</v>
      </c>
      <c r="P4470" s="12" t="n"/>
      <c r="Q4470" s="12" t="n"/>
      <c r="R4470" s="12" t="n"/>
      <c r="S4470" s="12" t="inlineStr">
        <is>
          <t>Tray / conduit</t>
        </is>
      </c>
      <c r="T4470" s="15" t="n">
        <v>40</v>
      </c>
      <c r="U4470" s="15" t="n">
        <v>10</v>
      </c>
      <c r="V4470" s="15">
        <f>ROUNDUP((T4470+U4470+2*'Read Me'!$B$13)*(1+'Read Me'!$B$12),-1)</f>
        <v/>
      </c>
      <c r="W4470" s="15">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I-C-0230</t>
        </is>
      </c>
      <c r="B4471" s="12" t="inlineStr">
        <is>
          <t>I</t>
        </is>
      </c>
      <c r="C4471" s="12" t="inlineStr">
        <is>
          <t>Modular / portable power</t>
        </is>
      </c>
      <c r="D4471" s="12" t="inlineStr">
        <is>
          <t>Home run JB-SC-2 ammonia flow--SOL01 to the control / marshalling room</t>
        </is>
      </c>
      <c r="E4471" s="12" t="inlineStr"/>
      <c r="F4471" s="12" t="inlineStr">
        <is>
          <t>SC-2 PCM + 15 kV GCB</t>
        </is>
      </c>
      <c r="G4471" s="12" t="inlineStr">
        <is>
          <t>JB-SC-2 ammonia flow--SOL01</t>
        </is>
      </c>
      <c r="H4471" s="12" t="inlineStr">
        <is>
          <t>SC-2 ammonia flow-control unit</t>
        </is>
      </c>
      <c r="I4471" s="12" t="inlineStr">
        <is>
          <t>Control</t>
        </is>
      </c>
      <c r="J4471" s="12" t="inlineStr">
        <is>
          <t>Control cable 600 V Type TC-ER, Cu #14 AWG, PVC jacket</t>
        </is>
      </c>
      <c r="K4471" s="12" t="inlineStr">
        <is>
          <t>CT|25/C|14</t>
        </is>
      </c>
      <c r="L4471" s="12" t="inlineStr">
        <is>
          <t>25/C</t>
        </is>
      </c>
      <c r="M4471" s="12" t="inlineStr">
        <is>
          <t>14</t>
        </is>
      </c>
      <c r="N4471" s="12" t="n">
        <v>1</v>
      </c>
      <c r="O4471" s="12" t="n">
        <v>1</v>
      </c>
      <c r="P4471" s="12" t="n"/>
      <c r="Q4471" s="12" t="n"/>
      <c r="R4471" s="12" t="n"/>
      <c r="S4471" s="12" t="inlineStr">
        <is>
          <t>Duct bank</t>
        </is>
      </c>
      <c r="T4471" s="15" t="n">
        <v>48</v>
      </c>
      <c r="U4471" s="15" t="n">
        <v>62</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I-C-0231</t>
        </is>
      </c>
      <c r="B4472" s="12" t="inlineStr">
        <is>
          <t>I</t>
        </is>
      </c>
      <c r="C4472" s="12" t="inlineStr">
        <is>
          <t>Modular / portable power</t>
        </is>
      </c>
      <c r="D4472" s="12" t="inlineStr">
        <is>
          <t>Motor 1 of 1: control / local station</t>
        </is>
      </c>
      <c r="E4472" s="12" t="inlineStr"/>
      <c r="F4472" s="12" t="inlineStr">
        <is>
          <t>SC-2 PCM + 15 kV GCB</t>
        </is>
      </c>
      <c r="G4472" s="12" t="inlineStr"/>
      <c r="H4472" s="12" t="inlineStr">
        <is>
          <t>SC-2 auxiliary skids: fuel-gas module, water-wash skid</t>
        </is>
      </c>
      <c r="I4472" s="12" t="inlineStr">
        <is>
          <t>Control</t>
        </is>
      </c>
      <c r="J4472" s="12" t="inlineStr">
        <is>
          <t>ARMOR-X MC-HL 600 V control, Cu #14 AWG (Class I Div 2)</t>
        </is>
      </c>
      <c r="K4472" s="12" t="inlineStr">
        <is>
          <t>CTAX|7/C|14</t>
        </is>
      </c>
      <c r="L4472" s="12" t="inlineStr">
        <is>
          <t>7/C</t>
        </is>
      </c>
      <c r="M4472" s="12" t="inlineStr">
        <is>
          <t>14</t>
        </is>
      </c>
      <c r="N4472" s="12" t="n">
        <v>1</v>
      </c>
      <c r="O4472" s="12" t="n">
        <v>1</v>
      </c>
      <c r="P4472" s="12" t="n"/>
      <c r="Q4472" s="12" t="n"/>
      <c r="R4472" s="12" t="n"/>
      <c r="S4472" s="12" t="inlineStr">
        <is>
          <t>Duct bank</t>
        </is>
      </c>
      <c r="T4472" s="15" t="n">
        <v>10</v>
      </c>
      <c r="U4472" s="15" t="n">
        <v>43</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I-C-0232</t>
        </is>
      </c>
      <c r="B4473" s="12" t="inlineStr">
        <is>
          <t>I</t>
        </is>
      </c>
      <c r="C4473" s="12" t="inlineStr">
        <is>
          <t>Modular / portable power</t>
        </is>
      </c>
      <c r="D4473" s="12" t="inlineStr">
        <is>
          <t>Solenoid to JB JB-SC-2 auxiliary ski-SOL01: 4 x 2/C (field cables)</t>
        </is>
      </c>
      <c r="E4473" s="12" t="inlineStr"/>
      <c r="F4473" s="12" t="inlineStr">
        <is>
          <t>SC-2 auxiliary skids: fuel-gas module, water-wash skid</t>
        </is>
      </c>
      <c r="G4473" s="12" t="inlineStr">
        <is>
          <t>JB-SC-2 auxiliary ski-SOL01</t>
        </is>
      </c>
      <c r="H4473" s="12" t="inlineStr">
        <is>
          <t>SC-2 auxiliary skids: fuel-gas module, water-wash skid</t>
        </is>
      </c>
      <c r="I4473" s="12" t="inlineStr">
        <is>
          <t>Control</t>
        </is>
      </c>
      <c r="J4473" s="12" t="inlineStr">
        <is>
          <t>ARMOR-X MC-HL 600 V control, Cu #14 AWG (Class I Div 2)</t>
        </is>
      </c>
      <c r="K4473" s="12" t="inlineStr">
        <is>
          <t>CTAX|2/C|14</t>
        </is>
      </c>
      <c r="L4473" s="12" t="inlineStr">
        <is>
          <t>2/C</t>
        </is>
      </c>
      <c r="M4473" s="12" t="inlineStr">
        <is>
          <t>14</t>
        </is>
      </c>
      <c r="N4473" s="12" t="n">
        <v>4</v>
      </c>
      <c r="O4473" s="12" t="n">
        <v>1</v>
      </c>
      <c r="P4473" s="12" t="n"/>
      <c r="Q4473" s="12" t="n"/>
      <c r="R4473" s="12" t="n"/>
      <c r="S4473" s="12" t="inlineStr">
        <is>
          <t>Tray / conduit</t>
        </is>
      </c>
      <c r="T4473" s="15" t="n">
        <v>63</v>
      </c>
      <c r="U4473" s="15" t="n">
        <v>10</v>
      </c>
      <c r="V4473" s="15">
        <f>ROUNDUP((T4473+U4473+2*'Read Me'!$B$13)*(1+'Read Me'!$B$12),-1)</f>
        <v/>
      </c>
      <c r="W4473" s="15">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I-C-0233</t>
        </is>
      </c>
      <c r="B4474" s="12" t="inlineStr">
        <is>
          <t>I</t>
        </is>
      </c>
      <c r="C4474" s="12" t="inlineStr">
        <is>
          <t>Modular / portable power</t>
        </is>
      </c>
      <c r="D4474" s="12" t="inlineStr">
        <is>
          <t>Home run JB-SC-2 auxiliary ski-SOL01 to the control / marshalling room</t>
        </is>
      </c>
      <c r="E4474" s="12" t="inlineStr"/>
      <c r="F4474" s="12" t="inlineStr">
        <is>
          <t>SC-2 PCM + 15 kV GCB</t>
        </is>
      </c>
      <c r="G4474" s="12" t="inlineStr">
        <is>
          <t>JB-SC-2 auxiliary ski-SOL01</t>
        </is>
      </c>
      <c r="H4474" s="12" t="inlineStr">
        <is>
          <t>SC-2 auxiliary skids: fuel-gas module, water-wash skid</t>
        </is>
      </c>
      <c r="I4474" s="12" t="inlineStr">
        <is>
          <t>Control</t>
        </is>
      </c>
      <c r="J4474" s="12" t="inlineStr">
        <is>
          <t>ARMOR-X MC-HL 600 V control, Cu #14 AWG (Class I Div 2)</t>
        </is>
      </c>
      <c r="K4474" s="12" t="inlineStr">
        <is>
          <t>CTAX|25/C|14</t>
        </is>
      </c>
      <c r="L4474" s="12" t="inlineStr">
        <is>
          <t>25/C</t>
        </is>
      </c>
      <c r="M4474" s="12" t="inlineStr">
        <is>
          <t>14</t>
        </is>
      </c>
      <c r="N4474" s="12" t="n">
        <v>1</v>
      </c>
      <c r="O4474" s="12" t="n">
        <v>1</v>
      </c>
      <c r="P4474" s="12" t="n"/>
      <c r="Q4474" s="12" t="n"/>
      <c r="R4474" s="12" t="n"/>
      <c r="S4474" s="12" t="inlineStr">
        <is>
          <t>Duct bank</t>
        </is>
      </c>
      <c r="T4474" s="15" t="n">
        <v>10</v>
      </c>
      <c r="U4474" s="15" t="n">
        <v>43</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I-C-0234</t>
        </is>
      </c>
      <c r="B4475" s="12" t="inlineStr">
        <is>
          <t>I</t>
        </is>
      </c>
      <c r="C4475" s="12" t="inlineStr">
        <is>
          <t>Modular / portable power</t>
        </is>
      </c>
      <c r="D4475" s="12" t="inlineStr">
        <is>
          <t>Motor 1 of 4: control / local station</t>
        </is>
      </c>
      <c r="E4475" s="12" t="inlineStr"/>
      <c r="F4475" s="12" t="inlineStr">
        <is>
          <t>SC-2 PCM + 15 kV GCB</t>
        </is>
      </c>
      <c r="G4475" s="12" t="inlineStr"/>
      <c r="H4475" s="12" t="inlineStr">
        <is>
          <t>SC-2 lube-oil fin-fan cooler</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4</v>
      </c>
      <c r="U4475" s="15" t="n">
        <v>38</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I-C-0235</t>
        </is>
      </c>
      <c r="B4476" s="12" t="inlineStr">
        <is>
          <t>I</t>
        </is>
      </c>
      <c r="C4476" s="12" t="inlineStr">
        <is>
          <t>Modular / portable power</t>
        </is>
      </c>
      <c r="D4476" s="12" t="inlineStr">
        <is>
          <t>Motor 2 of 4: control / local station</t>
        </is>
      </c>
      <c r="E4476" s="12" t="inlineStr"/>
      <c r="F4476" s="12" t="inlineStr">
        <is>
          <t>SC-2 PCM + 15 kV GCB</t>
        </is>
      </c>
      <c r="G4476" s="12" t="inlineStr"/>
      <c r="H4476" s="12" t="inlineStr">
        <is>
          <t>SC-2 lube-oil fin-fan cooler</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4</v>
      </c>
      <c r="U4476" s="15" t="n">
        <v>38</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I-C-0236</t>
        </is>
      </c>
      <c r="B4477" s="12" t="inlineStr">
        <is>
          <t>I</t>
        </is>
      </c>
      <c r="C4477" s="12" t="inlineStr">
        <is>
          <t>Modular / portable power</t>
        </is>
      </c>
      <c r="D4477" s="12" t="inlineStr">
        <is>
          <t>Motor 3 of 4: control / local station</t>
        </is>
      </c>
      <c r="E4477" s="12" t="inlineStr"/>
      <c r="F4477" s="12" t="inlineStr">
        <is>
          <t>SC-2 PCM + 15 kV GCB</t>
        </is>
      </c>
      <c r="G4477" s="12" t="inlineStr"/>
      <c r="H4477" s="12" t="inlineStr">
        <is>
          <t>SC-2 lube-oil fin-fan cooler</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4</v>
      </c>
      <c r="U4477" s="15" t="n">
        <v>38</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I-C-0237</t>
        </is>
      </c>
      <c r="B4478" s="12" t="inlineStr">
        <is>
          <t>I</t>
        </is>
      </c>
      <c r="C4478" s="12" t="inlineStr">
        <is>
          <t>Modular / portable power</t>
        </is>
      </c>
      <c r="D4478" s="12" t="inlineStr">
        <is>
          <t>Motor 4 of 4: control / local station</t>
        </is>
      </c>
      <c r="E4478" s="12" t="inlineStr"/>
      <c r="F4478" s="12" t="inlineStr">
        <is>
          <t>SC-2 PCM + 15 kV GCB</t>
        </is>
      </c>
      <c r="G4478" s="12" t="inlineStr"/>
      <c r="H4478" s="12" t="inlineStr">
        <is>
          <t>SC-2 lube-oil fin-fan cooler</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4</v>
      </c>
      <c r="U4478" s="15" t="n">
        <v>38</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I-C-0238</t>
        </is>
      </c>
      <c r="B4479" s="12" t="inlineStr">
        <is>
          <t>I</t>
        </is>
      </c>
      <c r="C4479" s="12" t="inlineStr">
        <is>
          <t>Modular / portable power</t>
        </is>
      </c>
      <c r="D4479" s="12" t="inlineStr">
        <is>
          <t>Motor 1 of 2: control / local station</t>
        </is>
      </c>
      <c r="E4479" s="12" t="inlineStr"/>
      <c r="F4479" s="12" t="inlineStr">
        <is>
          <t>SC-2 PCM + 15 kV GCB</t>
        </is>
      </c>
      <c r="G4479" s="12" t="inlineStr"/>
      <c r="H4479" s="12" t="inlineStr">
        <is>
          <t>SC-2 tempering-air fans (2 x 100 %)</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79</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I-C-0239</t>
        </is>
      </c>
      <c r="B4480" s="12" t="inlineStr">
        <is>
          <t>I</t>
        </is>
      </c>
      <c r="C4480" s="12" t="inlineStr">
        <is>
          <t>Modular / portable power</t>
        </is>
      </c>
      <c r="D4480" s="12" t="inlineStr">
        <is>
          <t>Motor 2 of 2: control / local station</t>
        </is>
      </c>
      <c r="E4480" s="12" t="inlineStr"/>
      <c r="F4480" s="12" t="inlineStr">
        <is>
          <t>SC-2 PCM + 15 kV GCB</t>
        </is>
      </c>
      <c r="G4480" s="12" t="inlineStr"/>
      <c r="H4480" s="12" t="inlineStr">
        <is>
          <t>SC-2 tempering-air fans (2 x 100 %)</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79</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I-C-0240</t>
        </is>
      </c>
      <c r="B4481" s="12" t="inlineStr">
        <is>
          <t>I</t>
        </is>
      </c>
      <c r="C4481" s="12" t="inlineStr">
        <is>
          <t>Modular / portable power</t>
        </is>
      </c>
      <c r="D4481" s="12" t="inlineStr">
        <is>
          <t>Motor 1 of 10: control / local station</t>
        </is>
      </c>
      <c r="E4481" s="12" t="inlineStr"/>
      <c r="F4481" s="12" t="inlineStr">
        <is>
          <t>SC-2 PCM + 15 kV GCB</t>
        </is>
      </c>
      <c r="G4481" s="12" t="inlineStr">
        <is>
          <t>SC-2</t>
        </is>
      </c>
      <c r="H4481" s="12" t="inlineStr">
        <is>
          <t>SC-2: aeroderivative simple-cycle unit (50 MW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I-C-0241</t>
        </is>
      </c>
      <c r="B4482" s="12" t="inlineStr">
        <is>
          <t>I</t>
        </is>
      </c>
      <c r="C4482" s="12" t="inlineStr">
        <is>
          <t>Modular / portable power</t>
        </is>
      </c>
      <c r="D4482" s="12" t="inlineStr">
        <is>
          <t>Motor 2 of 10: control / local station</t>
        </is>
      </c>
      <c r="E4482" s="12" t="inlineStr"/>
      <c r="F4482" s="12" t="inlineStr">
        <is>
          <t>SC-2 PCM + 15 kV GCB</t>
        </is>
      </c>
      <c r="G4482" s="12" t="inlineStr">
        <is>
          <t>SC-2</t>
        </is>
      </c>
      <c r="H4482" s="12" t="inlineStr">
        <is>
          <t>SC-2: aeroderivative simple-cycle unit (50 MW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I-C-0242</t>
        </is>
      </c>
      <c r="B4483" s="12" t="inlineStr">
        <is>
          <t>I</t>
        </is>
      </c>
      <c r="C4483" s="12" t="inlineStr">
        <is>
          <t>Modular / portable power</t>
        </is>
      </c>
      <c r="D4483" s="12" t="inlineStr">
        <is>
          <t>Motor 3 of 10: control / local station</t>
        </is>
      </c>
      <c r="E4483" s="12" t="inlineStr"/>
      <c r="F4483" s="12" t="inlineStr">
        <is>
          <t>SC-2 PCM + 15 kV GCB</t>
        </is>
      </c>
      <c r="G4483" s="12" t="inlineStr">
        <is>
          <t>SC-2</t>
        </is>
      </c>
      <c r="H4483" s="12" t="inlineStr">
        <is>
          <t>SC-2: aeroderivative simple-cycle unit (50 MW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I-C-0243</t>
        </is>
      </c>
      <c r="B4484" s="12" t="inlineStr">
        <is>
          <t>I</t>
        </is>
      </c>
      <c r="C4484" s="12" t="inlineStr">
        <is>
          <t>Modular / portable power</t>
        </is>
      </c>
      <c r="D4484" s="12" t="inlineStr">
        <is>
          <t>Motor 4 of 10: control / local station</t>
        </is>
      </c>
      <c r="E4484" s="12" t="inlineStr"/>
      <c r="F4484" s="12" t="inlineStr">
        <is>
          <t>SC-2 PCM + 15 kV GCB</t>
        </is>
      </c>
      <c r="G4484" s="12" t="inlineStr">
        <is>
          <t>SC-2</t>
        </is>
      </c>
      <c r="H4484" s="12" t="inlineStr">
        <is>
          <t>SC-2: aeroderivative simple-cycle unit (50 MW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I-C-0244</t>
        </is>
      </c>
      <c r="B4485" s="12" t="inlineStr">
        <is>
          <t>I</t>
        </is>
      </c>
      <c r="C4485" s="12" t="inlineStr">
        <is>
          <t>Modular / portable power</t>
        </is>
      </c>
      <c r="D4485" s="12" t="inlineStr">
        <is>
          <t>Motor 5 of 10: control / local station</t>
        </is>
      </c>
      <c r="E4485" s="12" t="inlineStr"/>
      <c r="F4485" s="12" t="inlineStr">
        <is>
          <t>SC-2 PCM + 15 kV GCB</t>
        </is>
      </c>
      <c r="G4485" s="12" t="inlineStr">
        <is>
          <t>SC-2</t>
        </is>
      </c>
      <c r="H4485" s="12" t="inlineStr">
        <is>
          <t>SC-2: aeroderivative simple-cycle unit (50 MW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I-C-0245</t>
        </is>
      </c>
      <c r="B4486" s="12" t="inlineStr">
        <is>
          <t>I</t>
        </is>
      </c>
      <c r="C4486" s="12" t="inlineStr">
        <is>
          <t>Modular / portable power</t>
        </is>
      </c>
      <c r="D4486" s="12" t="inlineStr">
        <is>
          <t>Motor 6 of 10: control / local station</t>
        </is>
      </c>
      <c r="E4486" s="12" t="inlineStr"/>
      <c r="F4486" s="12" t="inlineStr">
        <is>
          <t>SC-2 PCM + 15 kV GCB</t>
        </is>
      </c>
      <c r="G4486" s="12" t="inlineStr">
        <is>
          <t>SC-2</t>
        </is>
      </c>
      <c r="H4486" s="12" t="inlineStr">
        <is>
          <t>SC-2: aeroderivative simple-cycle unit (50 MW class)</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5" t="n">
        <v>35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I-C-0246</t>
        </is>
      </c>
      <c r="B4487" s="12" t="inlineStr">
        <is>
          <t>I</t>
        </is>
      </c>
      <c r="C4487" s="12" t="inlineStr">
        <is>
          <t>Modular / portable power</t>
        </is>
      </c>
      <c r="D4487" s="12" t="inlineStr">
        <is>
          <t>Motor 7 of 10: control / local station</t>
        </is>
      </c>
      <c r="E4487" s="12" t="inlineStr"/>
      <c r="F4487" s="12" t="inlineStr">
        <is>
          <t>SC-2 PCM + 15 kV GCB</t>
        </is>
      </c>
      <c r="G4487" s="12" t="inlineStr">
        <is>
          <t>SC-2</t>
        </is>
      </c>
      <c r="H4487" s="12" t="inlineStr">
        <is>
          <t>SC-2: aeroderivative simple-cycle unit (50 MW class)</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5" t="n">
        <v>35</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I-C-0247</t>
        </is>
      </c>
      <c r="B4488" s="12" t="inlineStr">
        <is>
          <t>I</t>
        </is>
      </c>
      <c r="C4488" s="12" t="inlineStr">
        <is>
          <t>Modular / portable power</t>
        </is>
      </c>
      <c r="D4488" s="12" t="inlineStr">
        <is>
          <t>Motor 8 of 10: control / local station</t>
        </is>
      </c>
      <c r="E4488" s="12" t="inlineStr"/>
      <c r="F4488" s="12" t="inlineStr">
        <is>
          <t>SC-2 PCM + 15 kV GCB</t>
        </is>
      </c>
      <c r="G4488" s="12" t="inlineStr">
        <is>
          <t>SC-2</t>
        </is>
      </c>
      <c r="H4488" s="12" t="inlineStr">
        <is>
          <t>SC-2: aeroderivative simple-cycle unit (50 MW class)</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5" t="n">
        <v>35</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I-C-0248</t>
        </is>
      </c>
      <c r="B4489" s="12" t="inlineStr">
        <is>
          <t>I</t>
        </is>
      </c>
      <c r="C4489" s="12" t="inlineStr">
        <is>
          <t>Modular / portable power</t>
        </is>
      </c>
      <c r="D4489" s="12" t="inlineStr">
        <is>
          <t>Motor 9 of 10: control / local station</t>
        </is>
      </c>
      <c r="E4489" s="12" t="inlineStr"/>
      <c r="F4489" s="12" t="inlineStr">
        <is>
          <t>SC-2 PCM + 15 kV GCB</t>
        </is>
      </c>
      <c r="G4489" s="12" t="inlineStr">
        <is>
          <t>SC-2</t>
        </is>
      </c>
      <c r="H4489" s="12" t="inlineStr">
        <is>
          <t>SC-2: aeroderivative simple-cycle unit (50 MW class)</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5" t="n">
        <v>35</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I-C-0249</t>
        </is>
      </c>
      <c r="B4490" s="12" t="inlineStr">
        <is>
          <t>I</t>
        </is>
      </c>
      <c r="C4490" s="12" t="inlineStr">
        <is>
          <t>Modular / portable power</t>
        </is>
      </c>
      <c r="D4490" s="12" t="inlineStr">
        <is>
          <t>Motor 10 of 10: control / local station</t>
        </is>
      </c>
      <c r="E4490" s="12" t="inlineStr"/>
      <c r="F4490" s="12" t="inlineStr">
        <is>
          <t>SC-2 PCM + 15 kV GCB</t>
        </is>
      </c>
      <c r="G4490" s="12" t="inlineStr">
        <is>
          <t>SC-2</t>
        </is>
      </c>
      <c r="H4490" s="12" t="inlineStr">
        <is>
          <t>SC-2: aeroderivative simple-cycle unit (50 MW class)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35</v>
      </c>
      <c r="U4490" s="15" t="n">
        <v>32</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I-C-0250</t>
        </is>
      </c>
      <c r="B4491" s="12" t="inlineStr">
        <is>
          <t>I</t>
        </is>
      </c>
      <c r="C4491" s="12" t="inlineStr">
        <is>
          <t>Modular / portable power</t>
        </is>
      </c>
      <c r="D4491" s="12" t="inlineStr">
        <is>
          <t>SC-GSU-1 protection / trip / cooling control</t>
        </is>
      </c>
      <c r="E4491" s="12" t="inlineStr"/>
      <c r="F4491" s="12" t="inlineStr">
        <is>
          <t>SC-1 PCM + 15 kV GCB</t>
        </is>
      </c>
      <c r="G4491" s="12" t="inlineStr">
        <is>
          <t>SC-GSU-1</t>
        </is>
      </c>
      <c r="H4491" s="12" t="inlineStr">
        <is>
          <t>SC-GSU-1: 13.8 / 34.5 kV unit step-up, ~60 MVA (SC-1)</t>
        </is>
      </c>
      <c r="I4491" s="12" t="inlineStr">
        <is>
          <t>Control</t>
        </is>
      </c>
      <c r="J4491" s="12" t="inlineStr">
        <is>
          <t>Control cable 600 V Type TC-ER, Cu #14 AWG, PVC jacket</t>
        </is>
      </c>
      <c r="K4491" s="12" t="inlineStr">
        <is>
          <t>CT|12/C|14</t>
        </is>
      </c>
      <c r="L4491" s="12" t="inlineStr">
        <is>
          <t>12/C</t>
        </is>
      </c>
      <c r="M4491" s="12" t="inlineStr">
        <is>
          <t>14</t>
        </is>
      </c>
      <c r="N4491" s="12" t="n">
        <v>1</v>
      </c>
      <c r="O4491" s="12" t="n">
        <v>1</v>
      </c>
      <c r="P4491" s="12" t="n"/>
      <c r="Q4491" s="12" t="n"/>
      <c r="R4491" s="12" t="n"/>
      <c r="S4491" s="12" t="inlineStr">
        <is>
          <t>Duct bank</t>
        </is>
      </c>
      <c r="T4491" s="15" t="n">
        <v>55</v>
      </c>
      <c r="U4491" s="15" t="n">
        <v>32</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I-C-0251</t>
        </is>
      </c>
      <c r="B4492" s="12" t="inlineStr">
        <is>
          <t>I</t>
        </is>
      </c>
      <c r="C4492" s="12" t="inlineStr">
        <is>
          <t>Modular / portable power</t>
        </is>
      </c>
      <c r="D4492" s="12" t="inlineStr">
        <is>
          <t>SC-GSU-2 protection / trip / cooling control</t>
        </is>
      </c>
      <c r="E4492" s="12" t="inlineStr"/>
      <c r="F4492" s="12" t="inlineStr">
        <is>
          <t>SC-2 PCM + 15 kV GCB</t>
        </is>
      </c>
      <c r="G4492" s="12" t="inlineStr">
        <is>
          <t>SC-GSU-2</t>
        </is>
      </c>
      <c r="H4492" s="12" t="inlineStr">
        <is>
          <t>SC-GSU-2: 13.8 / 34.5 kV unit step-up, ~60 MVA (SC-2)</t>
        </is>
      </c>
      <c r="I4492" s="12" t="inlineStr">
        <is>
          <t>Control</t>
        </is>
      </c>
      <c r="J4492" s="12" t="inlineStr">
        <is>
          <t>Control cable 600 V Type TC-ER, Cu #14 AWG, PVC jacket</t>
        </is>
      </c>
      <c r="K4492" s="12" t="inlineStr">
        <is>
          <t>CT|12/C|14</t>
        </is>
      </c>
      <c r="L4492" s="12" t="inlineStr">
        <is>
          <t>12/C</t>
        </is>
      </c>
      <c r="M4492" s="12" t="inlineStr">
        <is>
          <t>14</t>
        </is>
      </c>
      <c r="N4492" s="12" t="n">
        <v>1</v>
      </c>
      <c r="O4492" s="12" t="n">
        <v>1</v>
      </c>
      <c r="P4492" s="12" t="n"/>
      <c r="Q4492" s="12" t="n"/>
      <c r="R4492" s="12" t="n"/>
      <c r="S4492" s="12" t="inlineStr">
        <is>
          <t>Duct bank</t>
        </is>
      </c>
      <c r="T4492" s="15" t="n">
        <v>48</v>
      </c>
      <c r="U4492" s="15" t="n">
        <v>32</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I-C-0252</t>
        </is>
      </c>
      <c r="B4493" s="12" t="inlineStr">
        <is>
          <t>I</t>
        </is>
      </c>
      <c r="C4493" s="12" t="inlineStr">
        <is>
          <t>Modular / portable power</t>
        </is>
      </c>
      <c r="D4493" s="12" t="inlineStr">
        <is>
          <t>AX-1 generator CT / VT secondaries to the protection</t>
        </is>
      </c>
      <c r="E4493" s="12" t="inlineStr">
        <is>
          <t>AX-1</t>
        </is>
      </c>
      <c r="F4493" s="12" t="inlineStr">
        <is>
          <t>AX-1: compact modular aeroderivative installation, ~35 MW class (~35 M</t>
        </is>
      </c>
      <c r="G4493" s="12" t="inlineStr">
        <is>
          <t>SWG-PK</t>
        </is>
      </c>
      <c r="H4493" s="12" t="inlineStr">
        <is>
          <t>SWG-PK: 34.5 kV park collector switchgear (2 bus sections, tie; 8 feed</t>
        </is>
      </c>
      <c r="I4493" s="12" t="inlineStr">
        <is>
          <t>Control</t>
        </is>
      </c>
      <c r="J4493" s="12" t="inlineStr">
        <is>
          <t>Control cable 600 V Type TC-ER, Cu #10 AWG (CT / VT circuits)</t>
        </is>
      </c>
      <c r="K4493" s="12" t="inlineStr">
        <is>
          <t>CTCT|12/C|10</t>
        </is>
      </c>
      <c r="L4493" s="12" t="inlineStr">
        <is>
          <t>12/C</t>
        </is>
      </c>
      <c r="M4493" s="12" t="inlineStr">
        <is>
          <t>10</t>
        </is>
      </c>
      <c r="N4493" s="12" t="n">
        <v>1</v>
      </c>
      <c r="O4493" s="12" t="n">
        <v>1</v>
      </c>
      <c r="P4493" s="12" t="n"/>
      <c r="Q4493" s="12" t="n"/>
      <c r="R4493" s="12" t="n"/>
      <c r="S4493" s="12" t="inlineStr">
        <is>
          <t>Duct bank</t>
        </is>
      </c>
      <c r="T4493" s="15" t="n">
        <v>282</v>
      </c>
      <c r="U4493" s="15" t="n">
        <v>32</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I-C-0253</t>
        </is>
      </c>
      <c r="B4494" s="12" t="inlineStr">
        <is>
          <t>I</t>
        </is>
      </c>
      <c r="C4494" s="12" t="inlineStr">
        <is>
          <t>Modular / portable power</t>
        </is>
      </c>
      <c r="D4494" s="12" t="inlineStr">
        <is>
          <t>IG-1 generator CT / VT secondaries to the protection</t>
        </is>
      </c>
      <c r="E4494" s="12" t="inlineStr">
        <is>
          <t>IG-1</t>
        </is>
      </c>
      <c r="F4494" s="12" t="inlineStr">
        <is>
          <t>IG-1: industrial gas-turbine installation, ~50 MW class (~50 MW)</t>
        </is>
      </c>
      <c r="G4494" s="12" t="inlineStr">
        <is>
          <t>SWG-PK</t>
        </is>
      </c>
      <c r="H4494" s="12" t="inlineStr">
        <is>
          <t>SWG-PK: 34.5 kV park collector switchgear (2 bus sections, tie; 8 feed</t>
        </is>
      </c>
      <c r="I4494" s="12" t="inlineStr">
        <is>
          <t>Control</t>
        </is>
      </c>
      <c r="J4494" s="12" t="inlineStr">
        <is>
          <t>Control cable 600 V Type TC-ER, Cu #10 AWG (CT / VT circuits)</t>
        </is>
      </c>
      <c r="K4494" s="12" t="inlineStr">
        <is>
          <t>CTCT|12/C|10</t>
        </is>
      </c>
      <c r="L4494" s="12" t="inlineStr">
        <is>
          <t>12/C</t>
        </is>
      </c>
      <c r="M4494" s="12" t="inlineStr">
        <is>
          <t>10</t>
        </is>
      </c>
      <c r="N4494" s="12" t="n">
        <v>1</v>
      </c>
      <c r="O4494" s="12" t="n">
        <v>1</v>
      </c>
      <c r="P4494" s="12" t="n"/>
      <c r="Q4494" s="12" t="n"/>
      <c r="R4494" s="12" t="n"/>
      <c r="S4494" s="12" t="inlineStr">
        <is>
          <t>Duct bank</t>
        </is>
      </c>
      <c r="T4494" s="15" t="n">
        <v>182</v>
      </c>
      <c r="U4494" s="15" t="n">
        <v>32</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I-C-0254</t>
        </is>
      </c>
      <c r="B4495" s="12" t="inlineStr">
        <is>
          <t>I</t>
        </is>
      </c>
      <c r="C4495" s="12" t="inlineStr">
        <is>
          <t>Modular / portable power</t>
        </is>
      </c>
      <c r="D4495" s="12" t="inlineStr">
        <is>
          <t>Motor 1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I-C-0255</t>
        </is>
      </c>
      <c r="B4496" s="12" t="inlineStr">
        <is>
          <t>I</t>
        </is>
      </c>
      <c r="C4496" s="12" t="inlineStr">
        <is>
          <t>Modular / portable power</t>
        </is>
      </c>
      <c r="D4496" s="12" t="inlineStr">
        <is>
          <t>Motor 2 of 6: control / local station</t>
        </is>
      </c>
      <c r="E4496" s="12" t="inlineStr"/>
      <c r="F4496" s="12" t="inlineStr">
        <is>
          <t>MOD-LV 480 V board + 480 V : 13.8 kV step-up</t>
        </is>
      </c>
      <c r="G4496" s="12" t="inlineStr"/>
      <c r="H4496" s="12" t="inlineStr">
        <is>
          <t>T-MOD 230 kV take-off gantry with arresters</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290</v>
      </c>
      <c r="U4496" s="15" t="n">
        <v>47</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I-C-0256</t>
        </is>
      </c>
      <c r="B4497" s="12" t="inlineStr">
        <is>
          <t>I</t>
        </is>
      </c>
      <c r="C4497" s="12" t="inlineStr">
        <is>
          <t>Modular / portable power</t>
        </is>
      </c>
      <c r="D4497" s="12" t="inlineStr">
        <is>
          <t>Motor 3 of 6: control / local station</t>
        </is>
      </c>
      <c r="E4497" s="12" t="inlineStr"/>
      <c r="F4497" s="12" t="inlineStr">
        <is>
          <t>MOD-LV 480 V board + 480 V : 13.8 kV step-up</t>
        </is>
      </c>
      <c r="G4497" s="12" t="inlineStr"/>
      <c r="H4497" s="12" t="inlineStr">
        <is>
          <t>T-MOD 230 kV take-off gantry with arresters</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290</v>
      </c>
      <c r="U4497" s="15" t="n">
        <v>47</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I-C-0257</t>
        </is>
      </c>
      <c r="B4498" s="12" t="inlineStr">
        <is>
          <t>I</t>
        </is>
      </c>
      <c r="C4498" s="12" t="inlineStr">
        <is>
          <t>Modular / portable power</t>
        </is>
      </c>
      <c r="D4498" s="12" t="inlineStr">
        <is>
          <t>Motor 4 of 6: control / local station</t>
        </is>
      </c>
      <c r="E4498" s="12" t="inlineStr"/>
      <c r="F4498" s="12" t="inlineStr">
        <is>
          <t>MOD-LV 480 V board + 480 V : 13.8 kV step-up</t>
        </is>
      </c>
      <c r="G4498" s="12" t="inlineStr"/>
      <c r="H4498" s="12" t="inlineStr">
        <is>
          <t>T-MOD 230 kV take-off gantry with arresters</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290</v>
      </c>
      <c r="U4498" s="15" t="n">
        <v>47</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I-C-0258</t>
        </is>
      </c>
      <c r="B4499" s="12" t="inlineStr">
        <is>
          <t>I</t>
        </is>
      </c>
      <c r="C4499" s="12" t="inlineStr">
        <is>
          <t>Modular / portable power</t>
        </is>
      </c>
      <c r="D4499" s="12" t="inlineStr">
        <is>
          <t>Motor 5 of 6: control / local station</t>
        </is>
      </c>
      <c r="E4499" s="12" t="inlineStr"/>
      <c r="F4499" s="12" t="inlineStr">
        <is>
          <t>MOD-LV 480 V board + 480 V : 13.8 kV step-up</t>
        </is>
      </c>
      <c r="G4499" s="12" t="inlineStr"/>
      <c r="H4499" s="12" t="inlineStr">
        <is>
          <t>T-MOD 230 kV take-off gantry with arresters</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290</v>
      </c>
      <c r="U4499" s="15" t="n">
        <v>47</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I-C-0259</t>
        </is>
      </c>
      <c r="B4500" s="12" t="inlineStr">
        <is>
          <t>I</t>
        </is>
      </c>
      <c r="C4500" s="12" t="inlineStr">
        <is>
          <t>Modular / portable power</t>
        </is>
      </c>
      <c r="D4500" s="12" t="inlineStr">
        <is>
          <t>Motor 6 of 6: control / local station</t>
        </is>
      </c>
      <c r="E4500" s="12" t="inlineStr"/>
      <c r="F4500" s="12" t="inlineStr">
        <is>
          <t>MOD-LV 480 V board + 480 V : 13.8 kV step-up</t>
        </is>
      </c>
      <c r="G4500" s="12" t="inlineStr"/>
      <c r="H4500" s="12" t="inlineStr">
        <is>
          <t>T-MOD 230 kV take-off gantry with arresters</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290</v>
      </c>
      <c r="U4500" s="15" t="n">
        <v>47</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I-C-0260</t>
        </is>
      </c>
      <c r="B4501" s="12" t="inlineStr">
        <is>
          <t>I</t>
        </is>
      </c>
      <c r="C4501" s="12" t="inlineStr">
        <is>
          <t>Modular / portable power</t>
        </is>
      </c>
      <c r="D4501" s="12" t="inlineStr">
        <is>
          <t>Motor 1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373</v>
      </c>
      <c r="U4501" s="15" t="n">
        <v>62</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I-C-0261</t>
        </is>
      </c>
      <c r="B4502" s="12" t="inlineStr">
        <is>
          <t>I</t>
        </is>
      </c>
      <c r="C4502" s="12" t="inlineStr">
        <is>
          <t>Modular / portable power</t>
        </is>
      </c>
      <c r="D4502" s="12" t="inlineStr">
        <is>
          <t>Motor 2 of 6: control / local station</t>
        </is>
      </c>
      <c r="E4502" s="12" t="inlineStr"/>
      <c r="F4502" s="12" t="inlineStr">
        <is>
          <t>MOD-LV 480 V board + 480 V : 13.8 kV step-up</t>
        </is>
      </c>
      <c r="G4502" s="12" t="inlineStr"/>
      <c r="H4502" s="12" t="inlineStr">
        <is>
          <t>T-MOD-1 / T-MOD-2 firewall</t>
        </is>
      </c>
      <c r="I4502" s="12" t="inlineStr">
        <is>
          <t>Control</t>
        </is>
      </c>
      <c r="J4502" s="12" t="inlineStr">
        <is>
          <t>Control cable 600 V Type TC-ER, Cu #14 AWG, PVC jacket</t>
        </is>
      </c>
      <c r="K4502" s="12" t="inlineStr">
        <is>
          <t>CT|7/C|14</t>
        </is>
      </c>
      <c r="L4502" s="12" t="inlineStr">
        <is>
          <t>7/C</t>
        </is>
      </c>
      <c r="M4502" s="12" t="inlineStr">
        <is>
          <t>14</t>
        </is>
      </c>
      <c r="N4502" s="12" t="n">
        <v>1</v>
      </c>
      <c r="O4502" s="12" t="n">
        <v>1</v>
      </c>
      <c r="P4502" s="12" t="n"/>
      <c r="Q4502" s="12" t="n"/>
      <c r="R4502" s="12" t="n"/>
      <c r="S4502" s="12" t="inlineStr">
        <is>
          <t>Duct bank</t>
        </is>
      </c>
      <c r="T4502" s="15" t="n">
        <v>373</v>
      </c>
      <c r="U4502" s="15" t="n">
        <v>62</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I-C-0262</t>
        </is>
      </c>
      <c r="B4503" s="12" t="inlineStr">
        <is>
          <t>I</t>
        </is>
      </c>
      <c r="C4503" s="12" t="inlineStr">
        <is>
          <t>Modular / portable power</t>
        </is>
      </c>
      <c r="D4503" s="12" t="inlineStr">
        <is>
          <t>Motor 3 of 6: control / local station</t>
        </is>
      </c>
      <c r="E4503" s="12" t="inlineStr"/>
      <c r="F4503" s="12" t="inlineStr">
        <is>
          <t>MOD-LV 480 V board + 480 V : 13.8 kV step-up</t>
        </is>
      </c>
      <c r="G4503" s="12" t="inlineStr"/>
      <c r="H4503" s="12" t="inlineStr">
        <is>
          <t>T-MOD-1 / T-MOD-2 firewall</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373</v>
      </c>
      <c r="U4503" s="15" t="n">
        <v>62</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I-C-0263</t>
        </is>
      </c>
      <c r="B4504" s="12" t="inlineStr">
        <is>
          <t>I</t>
        </is>
      </c>
      <c r="C4504" s="12" t="inlineStr">
        <is>
          <t>Modular / portable power</t>
        </is>
      </c>
      <c r="D4504" s="12" t="inlineStr">
        <is>
          <t>Motor 4 of 6: control / local station</t>
        </is>
      </c>
      <c r="E4504" s="12" t="inlineStr"/>
      <c r="F4504" s="12" t="inlineStr">
        <is>
          <t>MOD-LV 480 V board + 480 V : 13.8 kV step-up</t>
        </is>
      </c>
      <c r="G4504" s="12" t="inlineStr"/>
      <c r="H4504" s="12" t="inlineStr">
        <is>
          <t>T-MOD-1 / T-MOD-2 firewall</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373</v>
      </c>
      <c r="U4504" s="15" t="n">
        <v>62</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I-C-0264</t>
        </is>
      </c>
      <c r="B4505" s="12" t="inlineStr">
        <is>
          <t>I</t>
        </is>
      </c>
      <c r="C4505" s="12" t="inlineStr">
        <is>
          <t>Modular / portable power</t>
        </is>
      </c>
      <c r="D4505" s="12" t="inlineStr">
        <is>
          <t>Motor 5 of 6: control / local station</t>
        </is>
      </c>
      <c r="E4505" s="12" t="inlineStr"/>
      <c r="F4505" s="12" t="inlineStr">
        <is>
          <t>MOD-LV 480 V board + 480 V : 13.8 kV step-up</t>
        </is>
      </c>
      <c r="G4505" s="12" t="inlineStr"/>
      <c r="H4505" s="12" t="inlineStr">
        <is>
          <t>T-MOD-1 / T-MOD-2 firewall</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373</v>
      </c>
      <c r="U4505" s="15" t="n">
        <v>62</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I-C-0265</t>
        </is>
      </c>
      <c r="B4506" s="12" t="inlineStr">
        <is>
          <t>I</t>
        </is>
      </c>
      <c r="C4506" s="12" t="inlineStr">
        <is>
          <t>Modular / portable power</t>
        </is>
      </c>
      <c r="D4506" s="12" t="inlineStr">
        <is>
          <t>Motor 6 of 6: control / local station</t>
        </is>
      </c>
      <c r="E4506" s="12" t="inlineStr"/>
      <c r="F4506" s="12" t="inlineStr">
        <is>
          <t>MOD-LV 480 V board + 480 V : 13.8 kV step-up</t>
        </is>
      </c>
      <c r="G4506" s="12" t="inlineStr"/>
      <c r="H4506" s="12" t="inlineStr">
        <is>
          <t>T-MOD-1 / T-MOD-2 firewall</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373</v>
      </c>
      <c r="U4506" s="15" t="n">
        <v>62</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I-C-0266</t>
        </is>
      </c>
      <c r="B4507" s="12" t="inlineStr">
        <is>
          <t>I</t>
        </is>
      </c>
      <c r="C4507" s="12" t="inlineStr">
        <is>
          <t>Modular / portable power</t>
        </is>
      </c>
      <c r="D4507" s="12" t="inlineStr">
        <is>
          <t>T-MOD-1 protection / trip / cooling control</t>
        </is>
      </c>
      <c r="E4507" s="12" t="inlineStr">
        <is>
          <t>MOD-EH</t>
        </is>
      </c>
      <c r="F4507" s="12" t="inlineStr">
        <is>
          <t>MOD-EH: 34.5 kV modular collector e-house (2 bus sections + 13.8 kV st</t>
        </is>
      </c>
      <c r="G4507" s="12" t="inlineStr">
        <is>
          <t>T-MOD-1</t>
        </is>
      </c>
      <c r="H4507" s="12" t="inlineStr">
        <is>
          <t>T-MOD-1: 230 / 34.5 kV</t>
        </is>
      </c>
      <c r="I4507" s="12" t="inlineStr">
        <is>
          <t>Control</t>
        </is>
      </c>
      <c r="J4507" s="12" t="inlineStr">
        <is>
          <t>Control cable 600 V Type TC-ER, Cu #14 AWG, PVC jacket</t>
        </is>
      </c>
      <c r="K4507" s="12" t="inlineStr">
        <is>
          <t>CT|12/C|14</t>
        </is>
      </c>
      <c r="L4507" s="12" t="inlineStr">
        <is>
          <t>12/C</t>
        </is>
      </c>
      <c r="M4507" s="12" t="inlineStr">
        <is>
          <t>14</t>
        </is>
      </c>
      <c r="N4507" s="12" t="n">
        <v>1</v>
      </c>
      <c r="O4507" s="12" t="n">
        <v>1</v>
      </c>
      <c r="P4507" s="12" t="n"/>
      <c r="Q4507" s="12" t="n"/>
      <c r="R4507" s="12" t="n"/>
      <c r="S4507" s="12" t="inlineStr">
        <is>
          <t>Duct bank</t>
        </is>
      </c>
      <c r="T4507" s="15" t="n">
        <v>223</v>
      </c>
      <c r="U4507" s="15" t="n">
        <v>57</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I-C-0267</t>
        </is>
      </c>
      <c r="B4508" s="12" t="inlineStr">
        <is>
          <t>I</t>
        </is>
      </c>
      <c r="C4508" s="12" t="inlineStr">
        <is>
          <t>Modular / portable power</t>
        </is>
      </c>
      <c r="D4508" s="12" t="inlineStr">
        <is>
          <t>Motor 1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328</v>
      </c>
      <c r="U4508" s="15" t="n">
        <v>57</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I-C-0268</t>
        </is>
      </c>
      <c r="B4509" s="12" t="inlineStr">
        <is>
          <t>I</t>
        </is>
      </c>
      <c r="C4509" s="12" t="inlineStr">
        <is>
          <t>Modular / portable power</t>
        </is>
      </c>
      <c r="D4509" s="12" t="inlineStr">
        <is>
          <t>Motor 2 of 6: control / local station</t>
        </is>
      </c>
      <c r="E4509" s="12" t="inlineStr"/>
      <c r="F4509" s="12" t="inlineStr">
        <is>
          <t>MOD-LV 480 V board + 480 V : 13.8 kV step-up</t>
        </is>
      </c>
      <c r="G4509" s="12" t="inlineStr">
        <is>
          <t>T-MOD-1</t>
        </is>
      </c>
      <c r="H4509" s="12" t="inlineStr">
        <is>
          <t>T-MOD-1: 230 / 34.5 kV</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328</v>
      </c>
      <c r="U4509" s="15" t="n">
        <v>57</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I-C-0269</t>
        </is>
      </c>
      <c r="B4510" s="12" t="inlineStr">
        <is>
          <t>I</t>
        </is>
      </c>
      <c r="C4510" s="12" t="inlineStr">
        <is>
          <t>Modular / portable power</t>
        </is>
      </c>
      <c r="D4510" s="12" t="inlineStr">
        <is>
          <t>Motor 3 of 6: control / local station</t>
        </is>
      </c>
      <c r="E4510" s="12" t="inlineStr"/>
      <c r="F4510" s="12" t="inlineStr">
        <is>
          <t>MOD-LV 480 V board + 480 V : 13.8 kV step-up</t>
        </is>
      </c>
      <c r="G4510" s="12" t="inlineStr">
        <is>
          <t>T-MOD-1</t>
        </is>
      </c>
      <c r="H4510" s="12" t="inlineStr">
        <is>
          <t>T-MOD-1: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328</v>
      </c>
      <c r="U4510" s="15" t="n">
        <v>57</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I-C-0270</t>
        </is>
      </c>
      <c r="B4511" s="12" t="inlineStr">
        <is>
          <t>I</t>
        </is>
      </c>
      <c r="C4511" s="12" t="inlineStr">
        <is>
          <t>Modular / portable power</t>
        </is>
      </c>
      <c r="D4511" s="12" t="inlineStr">
        <is>
          <t>Motor 4 of 6: control / local station</t>
        </is>
      </c>
      <c r="E4511" s="12" t="inlineStr"/>
      <c r="F4511" s="12" t="inlineStr">
        <is>
          <t>MOD-LV 480 V board + 480 V : 13.8 kV step-up</t>
        </is>
      </c>
      <c r="G4511" s="12" t="inlineStr">
        <is>
          <t>T-MOD-1</t>
        </is>
      </c>
      <c r="H4511" s="12" t="inlineStr">
        <is>
          <t>T-MOD-1: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328</v>
      </c>
      <c r="U4511" s="15" t="n">
        <v>57</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I-C-0271</t>
        </is>
      </c>
      <c r="B4512" s="12" t="inlineStr">
        <is>
          <t>I</t>
        </is>
      </c>
      <c r="C4512" s="12" t="inlineStr">
        <is>
          <t>Modular / portable power</t>
        </is>
      </c>
      <c r="D4512" s="12" t="inlineStr">
        <is>
          <t>Motor 5 of 6: control / local station</t>
        </is>
      </c>
      <c r="E4512" s="12" t="inlineStr"/>
      <c r="F4512" s="12" t="inlineStr">
        <is>
          <t>MOD-LV 480 V board + 480 V : 13.8 kV step-up</t>
        </is>
      </c>
      <c r="G4512" s="12" t="inlineStr">
        <is>
          <t>T-MOD-1</t>
        </is>
      </c>
      <c r="H4512" s="12" t="inlineStr">
        <is>
          <t>T-MOD-1: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328</v>
      </c>
      <c r="U4512" s="15" t="n">
        <v>57</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I-C-0272</t>
        </is>
      </c>
      <c r="B4513" s="12" t="inlineStr">
        <is>
          <t>I</t>
        </is>
      </c>
      <c r="C4513" s="12" t="inlineStr">
        <is>
          <t>Modular / portable power</t>
        </is>
      </c>
      <c r="D4513" s="12" t="inlineStr">
        <is>
          <t>Motor 6 of 6: control / local station</t>
        </is>
      </c>
      <c r="E4513" s="12" t="inlineStr"/>
      <c r="F4513" s="12" t="inlineStr">
        <is>
          <t>MOD-LV 480 V board + 480 V : 13.8 kV step-up</t>
        </is>
      </c>
      <c r="G4513" s="12" t="inlineStr">
        <is>
          <t>T-MOD-1</t>
        </is>
      </c>
      <c r="H4513" s="12" t="inlineStr">
        <is>
          <t>T-MOD-1: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328</v>
      </c>
      <c r="U4513" s="15" t="n">
        <v>57</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I-C-0273</t>
        </is>
      </c>
      <c r="B4514" s="12" t="inlineStr">
        <is>
          <t>I</t>
        </is>
      </c>
      <c r="C4514" s="12" t="inlineStr">
        <is>
          <t>Modular / portable power</t>
        </is>
      </c>
      <c r="D4514" s="12" t="inlineStr">
        <is>
          <t>Motor 1 of 6: control / local station</t>
        </is>
      </c>
      <c r="E4514" s="12" t="inlineStr"/>
      <c r="F4514" s="12" t="inlineStr">
        <is>
          <t>MOD-LV 480 V board + 480 V : 13.8 kV step-up</t>
        </is>
      </c>
      <c r="G4514" s="12" t="inlineStr"/>
      <c r="H4514" s="12" t="inlineStr">
        <is>
          <t>T-MOD-2 / T-MOD-3 firewall</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60</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I-C-0274</t>
        </is>
      </c>
      <c r="B4515" s="12" t="inlineStr">
        <is>
          <t>I</t>
        </is>
      </c>
      <c r="C4515" s="12" t="inlineStr">
        <is>
          <t>Modular / portable power</t>
        </is>
      </c>
      <c r="D4515" s="12" t="inlineStr">
        <is>
          <t>Motor 2 of 6: control / local station</t>
        </is>
      </c>
      <c r="E4515" s="12" t="inlineStr"/>
      <c r="F4515" s="12" t="inlineStr">
        <is>
          <t>MOD-LV 480 V board + 480 V : 13.8 kV step-up</t>
        </is>
      </c>
      <c r="G4515" s="12" t="inlineStr"/>
      <c r="H4515" s="12" t="inlineStr">
        <is>
          <t>T-MOD-2 / T-MOD-3 firewall</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60</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I-C-0275</t>
        </is>
      </c>
      <c r="B4516" s="12" t="inlineStr">
        <is>
          <t>I</t>
        </is>
      </c>
      <c r="C4516" s="12" t="inlineStr">
        <is>
          <t>Modular / portable power</t>
        </is>
      </c>
      <c r="D4516" s="12" t="inlineStr">
        <is>
          <t>Motor 3 of 6: control / local station</t>
        </is>
      </c>
      <c r="E4516" s="12" t="inlineStr"/>
      <c r="F4516" s="12" t="inlineStr">
        <is>
          <t>MOD-LV 480 V board + 480 V : 13.8 kV step-up</t>
        </is>
      </c>
      <c r="G4516" s="12" t="inlineStr"/>
      <c r="H4516" s="12" t="inlineStr">
        <is>
          <t>T-MOD-2 / T-MOD-3 firewall</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60</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I-C-0276</t>
        </is>
      </c>
      <c r="B4517" s="12" t="inlineStr">
        <is>
          <t>I</t>
        </is>
      </c>
      <c r="C4517" s="12" t="inlineStr">
        <is>
          <t>Modular / portable power</t>
        </is>
      </c>
      <c r="D4517" s="12" t="inlineStr">
        <is>
          <t>Motor 4 of 6: control / local station</t>
        </is>
      </c>
      <c r="E4517" s="12" t="inlineStr"/>
      <c r="F4517" s="12" t="inlineStr">
        <is>
          <t>MOD-LV 480 V board + 480 V : 13.8 kV step-up</t>
        </is>
      </c>
      <c r="G4517" s="12" t="inlineStr"/>
      <c r="H4517" s="12" t="inlineStr">
        <is>
          <t>T-MOD-2 / T-MOD-3 firewall</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60</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I-C-0277</t>
        </is>
      </c>
      <c r="B4518" s="12" t="inlineStr">
        <is>
          <t>I</t>
        </is>
      </c>
      <c r="C4518" s="12" t="inlineStr">
        <is>
          <t>Modular / portable power</t>
        </is>
      </c>
      <c r="D4518" s="12" t="inlineStr">
        <is>
          <t>Motor 5 of 6: control / local station</t>
        </is>
      </c>
      <c r="E4518" s="12" t="inlineStr"/>
      <c r="F4518" s="12" t="inlineStr">
        <is>
          <t>MOD-LV 480 V board + 480 V : 13.8 kV step-up</t>
        </is>
      </c>
      <c r="G4518" s="12" t="inlineStr"/>
      <c r="H4518" s="12" t="inlineStr">
        <is>
          <t>T-MOD-2 / T-MOD-3 firewall</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60</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I-C-0278</t>
        </is>
      </c>
      <c r="B4519" s="12" t="inlineStr">
        <is>
          <t>I</t>
        </is>
      </c>
      <c r="C4519" s="12" t="inlineStr">
        <is>
          <t>Modular / portable power</t>
        </is>
      </c>
      <c r="D4519" s="12" t="inlineStr">
        <is>
          <t>Motor 6 of 6: control / local station</t>
        </is>
      </c>
      <c r="E4519" s="12" t="inlineStr"/>
      <c r="F4519" s="12" t="inlineStr">
        <is>
          <t>MOD-LV 480 V board + 480 V : 13.8 kV step-up</t>
        </is>
      </c>
      <c r="G4519" s="12" t="inlineStr"/>
      <c r="H4519" s="12" t="inlineStr">
        <is>
          <t>T-MOD-2 / T-MOD-3 firewall</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60</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I-C-0279</t>
        </is>
      </c>
      <c r="B4520" s="12" t="inlineStr">
        <is>
          <t>I</t>
        </is>
      </c>
      <c r="C4520" s="12" t="inlineStr">
        <is>
          <t>Modular / portable power</t>
        </is>
      </c>
      <c r="D4520" s="12" t="inlineStr">
        <is>
          <t>T-MOD-2 protection / trip / cooling control</t>
        </is>
      </c>
      <c r="E4520" s="12" t="inlineStr">
        <is>
          <t>MOD-EH</t>
        </is>
      </c>
      <c r="F4520" s="12" t="inlineStr">
        <is>
          <t>MOD-EH: 34.5 kV modular collector e-house (2 bus sections + 13.8 kV st</t>
        </is>
      </c>
      <c r="G4520" s="12" t="inlineStr">
        <is>
          <t>T-MOD-2</t>
        </is>
      </c>
      <c r="H4520" s="12" t="inlineStr">
        <is>
          <t>T-MOD-2: 230 / 34.5 kV</t>
        </is>
      </c>
      <c r="I4520" s="12" t="inlineStr">
        <is>
          <t>Control</t>
        </is>
      </c>
      <c r="J4520" s="12" t="inlineStr">
        <is>
          <t>Control cable 600 V Type TC-ER, Cu #14 AWG, PVC jacket</t>
        </is>
      </c>
      <c r="K4520" s="12" t="inlineStr">
        <is>
          <t>CT|12/C|14</t>
        </is>
      </c>
      <c r="L4520" s="12" t="inlineStr">
        <is>
          <t>12/C</t>
        </is>
      </c>
      <c r="M4520" s="12" t="inlineStr">
        <is>
          <t>14</t>
        </is>
      </c>
      <c r="N4520" s="12" t="n">
        <v>1</v>
      </c>
      <c r="O4520" s="12" t="n">
        <v>1</v>
      </c>
      <c r="P4520" s="12" t="n"/>
      <c r="Q4520" s="12" t="n"/>
      <c r="R4520" s="12" t="n"/>
      <c r="S4520" s="12" t="inlineStr">
        <is>
          <t>Duct bank</t>
        </is>
      </c>
      <c r="T4520" s="15" t="n">
        <v>368</v>
      </c>
      <c r="U4520" s="15" t="n">
        <v>32</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I-C-0280</t>
        </is>
      </c>
      <c r="B4521" s="12" t="inlineStr">
        <is>
          <t>I</t>
        </is>
      </c>
      <c r="C4521" s="12" t="inlineStr">
        <is>
          <t>Modular / portable power</t>
        </is>
      </c>
      <c r="D4521" s="12" t="inlineStr">
        <is>
          <t>Motor 1 of 6: control / local station</t>
        </is>
      </c>
      <c r="E4521" s="12" t="inlineStr"/>
      <c r="F4521" s="12" t="inlineStr">
        <is>
          <t>MOD-LV 480 V board + 480 V : 13.8 kV step-up</t>
        </is>
      </c>
      <c r="G4521" s="12" t="inlineStr">
        <is>
          <t>T-MOD-2</t>
        </is>
      </c>
      <c r="H4521" s="12" t="inlineStr">
        <is>
          <t>T-MOD-2: 230 / 34.5 kV</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61</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I-C-0281</t>
        </is>
      </c>
      <c r="B4522" s="12" t="inlineStr">
        <is>
          <t>I</t>
        </is>
      </c>
      <c r="C4522" s="12" t="inlineStr">
        <is>
          <t>Modular / portable power</t>
        </is>
      </c>
      <c r="D4522" s="12" t="inlineStr">
        <is>
          <t>Motor 2 of 6: control / local station</t>
        </is>
      </c>
      <c r="E4522" s="12" t="inlineStr"/>
      <c r="F4522" s="12" t="inlineStr">
        <is>
          <t>MOD-LV 480 V board + 480 V : 13.8 kV step-up</t>
        </is>
      </c>
      <c r="G4522" s="12" t="inlineStr">
        <is>
          <t>T-MOD-2</t>
        </is>
      </c>
      <c r="H4522" s="12" t="inlineStr">
        <is>
          <t>T-MOD-2: 230 / 34.5 kV</t>
        </is>
      </c>
      <c r="I4522" s="12" t="inlineStr">
        <is>
          <t>Control</t>
        </is>
      </c>
      <c r="J4522" s="12" t="inlineStr">
        <is>
          <t>Control cable 600 V Type TC-ER, Cu #14 AWG, PVC jacket</t>
        </is>
      </c>
      <c r="K4522" s="12" t="inlineStr">
        <is>
          <t>CT|7/C|14</t>
        </is>
      </c>
      <c r="L4522" s="12" t="inlineStr">
        <is>
          <t>7/C</t>
        </is>
      </c>
      <c r="M4522" s="12" t="inlineStr">
        <is>
          <t>14</t>
        </is>
      </c>
      <c r="N4522" s="12" t="n">
        <v>1</v>
      </c>
      <c r="O4522" s="12" t="n">
        <v>1</v>
      </c>
      <c r="P4522" s="12" t="n"/>
      <c r="Q4522" s="12" t="n"/>
      <c r="R4522" s="12" t="n"/>
      <c r="S4522" s="12" t="inlineStr">
        <is>
          <t>Duct bank</t>
        </is>
      </c>
      <c r="T4522" s="15" t="n">
        <v>290</v>
      </c>
      <c r="U4522" s="15" t="n">
        <v>61</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I-C-0282</t>
        </is>
      </c>
      <c r="B4523" s="12" t="inlineStr">
        <is>
          <t>I</t>
        </is>
      </c>
      <c r="C4523" s="12" t="inlineStr">
        <is>
          <t>Modular / portable power</t>
        </is>
      </c>
      <c r="D4523" s="12" t="inlineStr">
        <is>
          <t>Motor 3 of 6: control / local station</t>
        </is>
      </c>
      <c r="E4523" s="12" t="inlineStr"/>
      <c r="F4523" s="12" t="inlineStr">
        <is>
          <t>MOD-LV 480 V board + 480 V : 13.8 kV step-up</t>
        </is>
      </c>
      <c r="G4523" s="12" t="inlineStr">
        <is>
          <t>T-MOD-2</t>
        </is>
      </c>
      <c r="H4523" s="12" t="inlineStr">
        <is>
          <t>T-MOD-2: 230 / 34.5 kV</t>
        </is>
      </c>
      <c r="I4523" s="12" t="inlineStr">
        <is>
          <t>Control</t>
        </is>
      </c>
      <c r="J4523" s="12" t="inlineStr">
        <is>
          <t>Control cable 600 V Type TC-ER, Cu #14 AWG, PVC jacket</t>
        </is>
      </c>
      <c r="K4523" s="12" t="inlineStr">
        <is>
          <t>CT|7/C|14</t>
        </is>
      </c>
      <c r="L4523" s="12" t="inlineStr">
        <is>
          <t>7/C</t>
        </is>
      </c>
      <c r="M4523" s="12" t="inlineStr">
        <is>
          <t>14</t>
        </is>
      </c>
      <c r="N4523" s="12" t="n">
        <v>1</v>
      </c>
      <c r="O4523" s="12" t="n">
        <v>1</v>
      </c>
      <c r="P4523" s="12" t="n"/>
      <c r="Q4523" s="12" t="n"/>
      <c r="R4523" s="12" t="n"/>
      <c r="S4523" s="12" t="inlineStr">
        <is>
          <t>Duct bank</t>
        </is>
      </c>
      <c r="T4523" s="15" t="n">
        <v>290</v>
      </c>
      <c r="U4523" s="15" t="n">
        <v>61</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I-C-0283</t>
        </is>
      </c>
      <c r="B4524" s="12" t="inlineStr">
        <is>
          <t>I</t>
        </is>
      </c>
      <c r="C4524" s="12" t="inlineStr">
        <is>
          <t>Modular / portable power</t>
        </is>
      </c>
      <c r="D4524" s="12" t="inlineStr">
        <is>
          <t>Motor 4 of 6: control / local station</t>
        </is>
      </c>
      <c r="E4524" s="12" t="inlineStr"/>
      <c r="F4524" s="12" t="inlineStr">
        <is>
          <t>MOD-LV 480 V board + 480 V : 13.8 kV step-up</t>
        </is>
      </c>
      <c r="G4524" s="12" t="inlineStr">
        <is>
          <t>T-MOD-2</t>
        </is>
      </c>
      <c r="H4524" s="12" t="inlineStr">
        <is>
          <t>T-MOD-2: 230 / 34.5 kV</t>
        </is>
      </c>
      <c r="I4524" s="12" t="inlineStr">
        <is>
          <t>Control</t>
        </is>
      </c>
      <c r="J4524" s="12" t="inlineStr">
        <is>
          <t>Control cable 600 V Type TC-ER, Cu #14 AWG, PVC jacket</t>
        </is>
      </c>
      <c r="K4524" s="12" t="inlineStr">
        <is>
          <t>CT|7/C|14</t>
        </is>
      </c>
      <c r="L4524" s="12" t="inlineStr">
        <is>
          <t>7/C</t>
        </is>
      </c>
      <c r="M4524" s="12" t="inlineStr">
        <is>
          <t>14</t>
        </is>
      </c>
      <c r="N4524" s="12" t="n">
        <v>1</v>
      </c>
      <c r="O4524" s="12" t="n">
        <v>1</v>
      </c>
      <c r="P4524" s="12" t="n"/>
      <c r="Q4524" s="12" t="n"/>
      <c r="R4524" s="12" t="n"/>
      <c r="S4524" s="12" t="inlineStr">
        <is>
          <t>Duct bank</t>
        </is>
      </c>
      <c r="T4524" s="15" t="n">
        <v>290</v>
      </c>
      <c r="U4524" s="15" t="n">
        <v>61</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I-C-0284</t>
        </is>
      </c>
      <c r="B4525" s="12" t="inlineStr">
        <is>
          <t>I</t>
        </is>
      </c>
      <c r="C4525" s="12" t="inlineStr">
        <is>
          <t>Modular / portable power</t>
        </is>
      </c>
      <c r="D4525" s="12" t="inlineStr">
        <is>
          <t>Motor 5 of 6: control / local station</t>
        </is>
      </c>
      <c r="E4525" s="12" t="inlineStr"/>
      <c r="F4525" s="12" t="inlineStr">
        <is>
          <t>MOD-LV 480 V board + 480 V : 13.8 kV step-up</t>
        </is>
      </c>
      <c r="G4525" s="12" t="inlineStr">
        <is>
          <t>T-MOD-2</t>
        </is>
      </c>
      <c r="H4525" s="12" t="inlineStr">
        <is>
          <t>T-MOD-2: 230 / 34.5 kV</t>
        </is>
      </c>
      <c r="I4525" s="12" t="inlineStr">
        <is>
          <t>Control</t>
        </is>
      </c>
      <c r="J4525" s="12" t="inlineStr">
        <is>
          <t>Control cable 600 V Type TC-ER, Cu #14 AWG, PVC jacket</t>
        </is>
      </c>
      <c r="K4525" s="12" t="inlineStr">
        <is>
          <t>CT|7/C|14</t>
        </is>
      </c>
      <c r="L4525" s="12" t="inlineStr">
        <is>
          <t>7/C</t>
        </is>
      </c>
      <c r="M4525" s="12" t="inlineStr">
        <is>
          <t>14</t>
        </is>
      </c>
      <c r="N4525" s="12" t="n">
        <v>1</v>
      </c>
      <c r="O4525" s="12" t="n">
        <v>1</v>
      </c>
      <c r="P4525" s="12" t="n"/>
      <c r="Q4525" s="12" t="n"/>
      <c r="R4525" s="12" t="n"/>
      <c r="S4525" s="12" t="inlineStr">
        <is>
          <t>Duct bank</t>
        </is>
      </c>
      <c r="T4525" s="15" t="n">
        <v>290</v>
      </c>
      <c r="U4525" s="15" t="n">
        <v>61</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I-C-0285</t>
        </is>
      </c>
      <c r="B4526" s="12" t="inlineStr">
        <is>
          <t>I</t>
        </is>
      </c>
      <c r="C4526" s="12" t="inlineStr">
        <is>
          <t>Modular / portable power</t>
        </is>
      </c>
      <c r="D4526" s="12" t="inlineStr">
        <is>
          <t>Motor 6 of 6: control / local station</t>
        </is>
      </c>
      <c r="E4526" s="12" t="inlineStr"/>
      <c r="F4526" s="12" t="inlineStr">
        <is>
          <t>MOD-LV 480 V board + 480 V : 13.8 kV step-up</t>
        </is>
      </c>
      <c r="G4526" s="12" t="inlineStr">
        <is>
          <t>T-MOD-2</t>
        </is>
      </c>
      <c r="H4526" s="12" t="inlineStr">
        <is>
          <t>T-MOD-2: 230 / 34.5 kV</t>
        </is>
      </c>
      <c r="I4526" s="12" t="inlineStr">
        <is>
          <t>Control</t>
        </is>
      </c>
      <c r="J4526" s="12" t="inlineStr">
        <is>
          <t>Control cable 600 V Type TC-ER, Cu #14 AWG, PVC jacket</t>
        </is>
      </c>
      <c r="K4526" s="12" t="inlineStr">
        <is>
          <t>CT|7/C|14</t>
        </is>
      </c>
      <c r="L4526" s="12" t="inlineStr">
        <is>
          <t>7/C</t>
        </is>
      </c>
      <c r="M4526" s="12" t="inlineStr">
        <is>
          <t>14</t>
        </is>
      </c>
      <c r="N4526" s="12" t="n">
        <v>1</v>
      </c>
      <c r="O4526" s="12" t="n">
        <v>1</v>
      </c>
      <c r="P4526" s="12" t="n"/>
      <c r="Q4526" s="12" t="n"/>
      <c r="R4526" s="12" t="n"/>
      <c r="S4526" s="12" t="inlineStr">
        <is>
          <t>Duct bank</t>
        </is>
      </c>
      <c r="T4526" s="15" t="n">
        <v>290</v>
      </c>
      <c r="U4526" s="15" t="n">
        <v>61</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I-C-0286</t>
        </is>
      </c>
      <c r="B4527" s="12" t="inlineStr">
        <is>
          <t>I</t>
        </is>
      </c>
      <c r="C4527" s="12" t="inlineStr">
        <is>
          <t>Modular / portable power</t>
        </is>
      </c>
      <c r="D4527" s="12" t="inlineStr">
        <is>
          <t>Motor 1 of 6: control / local station</t>
        </is>
      </c>
      <c r="E4527" s="12" t="inlineStr"/>
      <c r="F4527" s="12" t="inlineStr">
        <is>
          <t>MOD-LV 480 V board + 480 V : 13.8 kV step-up</t>
        </is>
      </c>
      <c r="G4527" s="12" t="inlineStr"/>
      <c r="H4527" s="12" t="inlineStr">
        <is>
          <t>T-MOD-3 230 kV gantry extension with arresters</t>
        </is>
      </c>
      <c r="I4527" s="12" t="inlineStr">
        <is>
          <t>Control</t>
        </is>
      </c>
      <c r="J4527" s="12" t="inlineStr">
        <is>
          <t>Control cable 600 V Type TC-ER, Cu #14 AWG, PVC jacket</t>
        </is>
      </c>
      <c r="K4527" s="12" t="inlineStr">
        <is>
          <t>CT|7/C|14</t>
        </is>
      </c>
      <c r="L4527" s="12" t="inlineStr">
        <is>
          <t>7/C</t>
        </is>
      </c>
      <c r="M4527" s="12" t="inlineStr">
        <is>
          <t>14</t>
        </is>
      </c>
      <c r="N4527" s="12" t="n">
        <v>1</v>
      </c>
      <c r="O4527" s="12" t="n">
        <v>1</v>
      </c>
      <c r="P4527" s="12" t="n"/>
      <c r="Q4527" s="12" t="n"/>
      <c r="R4527" s="12" t="n"/>
      <c r="S4527" s="12" t="inlineStr">
        <is>
          <t>Duct bank</t>
        </is>
      </c>
      <c r="T4527" s="15" t="n">
        <v>290</v>
      </c>
      <c r="U4527" s="15" t="n">
        <v>36</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I-C-0287</t>
        </is>
      </c>
      <c r="B4528" s="12" t="inlineStr">
        <is>
          <t>I</t>
        </is>
      </c>
      <c r="C4528" s="12" t="inlineStr">
        <is>
          <t>Modular / portable power</t>
        </is>
      </c>
      <c r="D4528" s="12" t="inlineStr">
        <is>
          <t>Motor 2 of 6: control / local station</t>
        </is>
      </c>
      <c r="E4528" s="12" t="inlineStr"/>
      <c r="F4528" s="12" t="inlineStr">
        <is>
          <t>MOD-LV 480 V board + 480 V : 13.8 kV step-up</t>
        </is>
      </c>
      <c r="G4528" s="12" t="inlineStr"/>
      <c r="H4528" s="12" t="inlineStr">
        <is>
          <t>T-MOD-3 230 kV gantry extension with arresters</t>
        </is>
      </c>
      <c r="I4528" s="12" t="inlineStr">
        <is>
          <t>Control</t>
        </is>
      </c>
      <c r="J4528" s="12" t="inlineStr">
        <is>
          <t>Control cable 600 V Type TC-ER, Cu #14 AWG, PVC jacket</t>
        </is>
      </c>
      <c r="K4528" s="12" t="inlineStr">
        <is>
          <t>CT|7/C|14</t>
        </is>
      </c>
      <c r="L4528" s="12" t="inlineStr">
        <is>
          <t>7/C</t>
        </is>
      </c>
      <c r="M4528" s="12" t="inlineStr">
        <is>
          <t>14</t>
        </is>
      </c>
      <c r="N4528" s="12" t="n">
        <v>1</v>
      </c>
      <c r="O4528" s="12" t="n">
        <v>1</v>
      </c>
      <c r="P4528" s="12" t="n"/>
      <c r="Q4528" s="12" t="n"/>
      <c r="R4528" s="12" t="n"/>
      <c r="S4528" s="12" t="inlineStr">
        <is>
          <t>Duct bank</t>
        </is>
      </c>
      <c r="T4528" s="15" t="n">
        <v>290</v>
      </c>
      <c r="U4528" s="15" t="n">
        <v>36</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I-C-0288</t>
        </is>
      </c>
      <c r="B4529" s="12" t="inlineStr">
        <is>
          <t>I</t>
        </is>
      </c>
      <c r="C4529" s="12" t="inlineStr">
        <is>
          <t>Modular / portable power</t>
        </is>
      </c>
      <c r="D4529" s="12" t="inlineStr">
        <is>
          <t>Motor 3 of 6: control / local station</t>
        </is>
      </c>
      <c r="E4529" s="12" t="inlineStr"/>
      <c r="F4529" s="12" t="inlineStr">
        <is>
          <t>MOD-LV 480 V board + 480 V : 13.8 kV step-up</t>
        </is>
      </c>
      <c r="G4529" s="12" t="inlineStr"/>
      <c r="H4529" s="12" t="inlineStr">
        <is>
          <t>T-MOD-3 230 kV gantry extension with arresters</t>
        </is>
      </c>
      <c r="I4529" s="12" t="inlineStr">
        <is>
          <t>Control</t>
        </is>
      </c>
      <c r="J4529" s="12" t="inlineStr">
        <is>
          <t>Control cable 600 V Type TC-ER, Cu #14 AWG, PVC jacket</t>
        </is>
      </c>
      <c r="K4529" s="12" t="inlineStr">
        <is>
          <t>CT|7/C|14</t>
        </is>
      </c>
      <c r="L4529" s="12" t="inlineStr">
        <is>
          <t>7/C</t>
        </is>
      </c>
      <c r="M4529" s="12" t="inlineStr">
        <is>
          <t>14</t>
        </is>
      </c>
      <c r="N4529" s="12" t="n">
        <v>1</v>
      </c>
      <c r="O4529" s="12" t="n">
        <v>1</v>
      </c>
      <c r="P4529" s="12" t="n"/>
      <c r="Q4529" s="12" t="n"/>
      <c r="R4529" s="12" t="n"/>
      <c r="S4529" s="12" t="inlineStr">
        <is>
          <t>Duct bank</t>
        </is>
      </c>
      <c r="T4529" s="15" t="n">
        <v>290</v>
      </c>
      <c r="U4529" s="15" t="n">
        <v>36</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I-C-0289</t>
        </is>
      </c>
      <c r="B4530" s="12" t="inlineStr">
        <is>
          <t>I</t>
        </is>
      </c>
      <c r="C4530" s="12" t="inlineStr">
        <is>
          <t>Modular / portable power</t>
        </is>
      </c>
      <c r="D4530" s="12" t="inlineStr">
        <is>
          <t>Motor 4 of 6: control / local station</t>
        </is>
      </c>
      <c r="E4530" s="12" t="inlineStr"/>
      <c r="F4530" s="12" t="inlineStr">
        <is>
          <t>MOD-LV 480 V board + 480 V : 13.8 kV step-up</t>
        </is>
      </c>
      <c r="G4530" s="12" t="inlineStr"/>
      <c r="H4530" s="12" t="inlineStr">
        <is>
          <t>T-MOD-3 230 kV gantry extension with arresters</t>
        </is>
      </c>
      <c r="I4530" s="12" t="inlineStr">
        <is>
          <t>Control</t>
        </is>
      </c>
      <c r="J4530" s="12" t="inlineStr">
        <is>
          <t>Control cable 600 V Type TC-ER, Cu #14 AWG, PVC jacket</t>
        </is>
      </c>
      <c r="K4530" s="12" t="inlineStr">
        <is>
          <t>CT|7/C|14</t>
        </is>
      </c>
      <c r="L4530" s="12" t="inlineStr">
        <is>
          <t>7/C</t>
        </is>
      </c>
      <c r="M4530" s="12" t="inlineStr">
        <is>
          <t>14</t>
        </is>
      </c>
      <c r="N4530" s="12" t="n">
        <v>1</v>
      </c>
      <c r="O4530" s="12" t="n">
        <v>1</v>
      </c>
      <c r="P4530" s="12" t="n"/>
      <c r="Q4530" s="12" t="n"/>
      <c r="R4530" s="12" t="n"/>
      <c r="S4530" s="12" t="inlineStr">
        <is>
          <t>Duct bank</t>
        </is>
      </c>
      <c r="T4530" s="15" t="n">
        <v>290</v>
      </c>
      <c r="U4530" s="15" t="n">
        <v>36</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I-C-0290</t>
        </is>
      </c>
      <c r="B4531" s="12" t="inlineStr">
        <is>
          <t>I</t>
        </is>
      </c>
      <c r="C4531" s="12" t="inlineStr">
        <is>
          <t>Modular / portable power</t>
        </is>
      </c>
      <c r="D4531" s="12" t="inlineStr">
        <is>
          <t>Motor 5 of 6: control / local station</t>
        </is>
      </c>
      <c r="E4531" s="12" t="inlineStr"/>
      <c r="F4531" s="12" t="inlineStr">
        <is>
          <t>MOD-LV 480 V board + 480 V : 13.8 kV step-up</t>
        </is>
      </c>
      <c r="G4531" s="12" t="inlineStr"/>
      <c r="H4531" s="12" t="inlineStr">
        <is>
          <t>T-MOD-3 230 kV gantry extension with arresters</t>
        </is>
      </c>
      <c r="I4531" s="12" t="inlineStr">
        <is>
          <t>Control</t>
        </is>
      </c>
      <c r="J4531" s="12" t="inlineStr">
        <is>
          <t>Control cable 600 V Type TC-ER, Cu #14 AWG, PVC jacket</t>
        </is>
      </c>
      <c r="K4531" s="12" t="inlineStr">
        <is>
          <t>CT|7/C|14</t>
        </is>
      </c>
      <c r="L4531" s="12" t="inlineStr">
        <is>
          <t>7/C</t>
        </is>
      </c>
      <c r="M4531" s="12" t="inlineStr">
        <is>
          <t>14</t>
        </is>
      </c>
      <c r="N4531" s="12" t="n">
        <v>1</v>
      </c>
      <c r="O4531" s="12" t="n">
        <v>1</v>
      </c>
      <c r="P4531" s="12" t="n"/>
      <c r="Q4531" s="12" t="n"/>
      <c r="R4531" s="12" t="n"/>
      <c r="S4531" s="12" t="inlineStr">
        <is>
          <t>Duct bank</t>
        </is>
      </c>
      <c r="T4531" s="15" t="n">
        <v>290</v>
      </c>
      <c r="U4531" s="15" t="n">
        <v>36</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I-C-0291</t>
        </is>
      </c>
      <c r="B4532" s="12" t="inlineStr">
        <is>
          <t>I</t>
        </is>
      </c>
      <c r="C4532" s="12" t="inlineStr">
        <is>
          <t>Modular / portable power</t>
        </is>
      </c>
      <c r="D4532" s="12" t="inlineStr">
        <is>
          <t>Motor 6 of 6: control / local station</t>
        </is>
      </c>
      <c r="E4532" s="12" t="inlineStr"/>
      <c r="F4532" s="12" t="inlineStr">
        <is>
          <t>MOD-LV 480 V board + 480 V : 13.8 kV step-up</t>
        </is>
      </c>
      <c r="G4532" s="12" t="inlineStr"/>
      <c r="H4532" s="12" t="inlineStr">
        <is>
          <t>T-MOD-3 230 kV gantry extension with arresters</t>
        </is>
      </c>
      <c r="I4532" s="12" t="inlineStr">
        <is>
          <t>Control</t>
        </is>
      </c>
      <c r="J4532" s="12" t="inlineStr">
        <is>
          <t>Control cable 600 V Type TC-ER, Cu #14 AWG, PVC jacket</t>
        </is>
      </c>
      <c r="K4532" s="12" t="inlineStr">
        <is>
          <t>CT|7/C|14</t>
        </is>
      </c>
      <c r="L4532" s="12" t="inlineStr">
        <is>
          <t>7/C</t>
        </is>
      </c>
      <c r="M4532" s="12" t="inlineStr">
        <is>
          <t>14</t>
        </is>
      </c>
      <c r="N4532" s="12" t="n">
        <v>1</v>
      </c>
      <c r="O4532" s="12" t="n">
        <v>1</v>
      </c>
      <c r="P4532" s="12" t="n"/>
      <c r="Q4532" s="12" t="n"/>
      <c r="R4532" s="12" t="n"/>
      <c r="S4532" s="12" t="inlineStr">
        <is>
          <t>Duct bank</t>
        </is>
      </c>
      <c r="T4532" s="15" t="n">
        <v>290</v>
      </c>
      <c r="U4532" s="15" t="n">
        <v>36</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I-C-0292</t>
        </is>
      </c>
      <c r="B4533" s="12" t="inlineStr">
        <is>
          <t>I</t>
        </is>
      </c>
      <c r="C4533" s="12" t="inlineStr">
        <is>
          <t>Modular / portable power</t>
        </is>
      </c>
      <c r="D4533" s="12" t="inlineStr">
        <is>
          <t>T-MOD-3 protection / trip / cooling control</t>
        </is>
      </c>
      <c r="E4533" s="12" t="inlineStr">
        <is>
          <t>SWG-PK</t>
        </is>
      </c>
      <c r="F4533" s="12" t="inlineStr">
        <is>
          <t>SWG-PK: 34.5 kV park collector switchgear (2 bus sections, tie; 8 feed</t>
        </is>
      </c>
      <c r="G4533" s="12" t="inlineStr">
        <is>
          <t>T-MOD-3</t>
        </is>
      </c>
      <c r="H4533" s="12" t="inlineStr">
        <is>
          <t>T-MOD-3: 230 / 34.5 / 34.5 kV, ~250 MVA three-winding (power park coll</t>
        </is>
      </c>
      <c r="I4533" s="12" t="inlineStr">
        <is>
          <t>Control</t>
        </is>
      </c>
      <c r="J4533" s="12" t="inlineStr">
        <is>
          <t>Control cable 600 V Type TC-ER, Cu #14 AWG, PVC jacket</t>
        </is>
      </c>
      <c r="K4533" s="12" t="inlineStr">
        <is>
          <t>CT|12/C|14</t>
        </is>
      </c>
      <c r="L4533" s="12" t="inlineStr">
        <is>
          <t>12/C</t>
        </is>
      </c>
      <c r="M4533" s="12" t="inlineStr">
        <is>
          <t>14</t>
        </is>
      </c>
      <c r="N4533" s="12" t="n">
        <v>1</v>
      </c>
      <c r="O4533" s="12" t="n">
        <v>1</v>
      </c>
      <c r="P4533" s="12" t="n"/>
      <c r="Q4533" s="12" t="n"/>
      <c r="R4533" s="12" t="n"/>
      <c r="S4533" s="12" t="inlineStr">
        <is>
          <t>Duct bank</t>
        </is>
      </c>
      <c r="T4533" s="15" t="n">
        <v>22</v>
      </c>
      <c r="U4533" s="15" t="n">
        <v>58</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I-C-0293</t>
        </is>
      </c>
      <c r="B4534" s="12" t="inlineStr">
        <is>
          <t>I</t>
        </is>
      </c>
      <c r="C4534" s="12" t="inlineStr">
        <is>
          <t>Modular / portable power</t>
        </is>
      </c>
      <c r="D4534" s="12" t="inlineStr">
        <is>
          <t>TGF-1 control / sync</t>
        </is>
      </c>
      <c r="E4534" s="12" t="inlineStr">
        <is>
          <t>TGF-SWG</t>
        </is>
      </c>
      <c r="F4534" s="12" t="inlineStr">
        <is>
          <t>TGF-SWG: mobile 13.8 kV switchgear trailer (fleet collector)</t>
        </is>
      </c>
      <c r="G4534" s="12" t="inlineStr">
        <is>
          <t>TGF-1</t>
        </is>
      </c>
      <c r="H4534" s="12" t="inlineStr">
        <is>
          <t xml:space="preserve">TGF-1: trailer-mounted gas-engine generator ~2.5 MW, 13.8 kV (trailer </t>
        </is>
      </c>
      <c r="I4534" s="12" t="inlineStr">
        <is>
          <t>Control</t>
        </is>
      </c>
      <c r="J4534" s="12" t="inlineStr">
        <is>
          <t>ARMOR-X MC-HL 600 V control, Cu #14 AWG (Class I Div 2)</t>
        </is>
      </c>
      <c r="K4534" s="12" t="inlineStr">
        <is>
          <t>CTAX|12/C|14</t>
        </is>
      </c>
      <c r="L4534" s="12" t="inlineStr">
        <is>
          <t>12/C</t>
        </is>
      </c>
      <c r="M4534" s="12" t="inlineStr">
        <is>
          <t>14</t>
        </is>
      </c>
      <c r="N4534" s="12" t="n">
        <v>1</v>
      </c>
      <c r="O4534" s="12" t="n">
        <v>1</v>
      </c>
      <c r="P4534" s="12" t="n"/>
      <c r="Q4534" s="12" t="n"/>
      <c r="R4534" s="12" t="n"/>
      <c r="S4534" s="12" t="inlineStr">
        <is>
          <t>Surface</t>
        </is>
      </c>
      <c r="T4534" s="15" t="n">
        <v>82</v>
      </c>
      <c r="U4534" s="15" t="n">
        <v>37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I-C-0294</t>
        </is>
      </c>
      <c r="B4535" s="12" t="inlineStr">
        <is>
          <t>I</t>
        </is>
      </c>
      <c r="C4535" s="12" t="inlineStr">
        <is>
          <t>Modular / portable power</t>
        </is>
      </c>
      <c r="D4535" s="12" t="inlineStr">
        <is>
          <t>TGF-2 control / sync</t>
        </is>
      </c>
      <c r="E4535" s="12" t="inlineStr">
        <is>
          <t>TGF-SWG</t>
        </is>
      </c>
      <c r="F4535" s="12" t="inlineStr">
        <is>
          <t>TGF-SWG: mobile 13.8 kV switchgear trailer (fleet collector)</t>
        </is>
      </c>
      <c r="G4535" s="12" t="inlineStr">
        <is>
          <t>TGF-2</t>
        </is>
      </c>
      <c r="H4535" s="12" t="inlineStr">
        <is>
          <t xml:space="preserve">TGF-2: trailer-mounted gas-engine generator ~2.5 MW, 13.8 kV (trailer </t>
        </is>
      </c>
      <c r="I4535" s="12" t="inlineStr">
        <is>
          <t>Control</t>
        </is>
      </c>
      <c r="J4535" s="12" t="inlineStr">
        <is>
          <t>ARMOR-X MC-HL 600 V control, Cu #14 AWG (Class I Div 2)</t>
        </is>
      </c>
      <c r="K4535" s="12" t="inlineStr">
        <is>
          <t>CTAX|12/C|14</t>
        </is>
      </c>
      <c r="L4535" s="12" t="inlineStr">
        <is>
          <t>12/C</t>
        </is>
      </c>
      <c r="M4535" s="12" t="inlineStr">
        <is>
          <t>14</t>
        </is>
      </c>
      <c r="N4535" s="12" t="n">
        <v>1</v>
      </c>
      <c r="O4535" s="12" t="n">
        <v>1</v>
      </c>
      <c r="P4535" s="12" t="n"/>
      <c r="Q4535" s="12" t="n"/>
      <c r="R4535" s="12" t="n"/>
      <c r="S4535" s="12" t="inlineStr">
        <is>
          <t>Surface</t>
        </is>
      </c>
      <c r="T4535" s="15" t="n">
        <v>68</v>
      </c>
      <c r="U4535" s="15" t="n">
        <v>37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I-C-0295</t>
        </is>
      </c>
      <c r="B4536" s="12" t="inlineStr">
        <is>
          <t>I</t>
        </is>
      </c>
      <c r="C4536" s="12" t="inlineStr">
        <is>
          <t>Modular / portable power</t>
        </is>
      </c>
      <c r="D4536" s="12" t="inlineStr">
        <is>
          <t>TGF-3 control / sync</t>
        </is>
      </c>
      <c r="E4536" s="12" t="inlineStr">
        <is>
          <t>TGF-SWG</t>
        </is>
      </c>
      <c r="F4536" s="12" t="inlineStr">
        <is>
          <t>TGF-SWG: mobile 13.8 kV switchgear trailer (fleet collector)</t>
        </is>
      </c>
      <c r="G4536" s="12" t="inlineStr">
        <is>
          <t>TGF-3</t>
        </is>
      </c>
      <c r="H4536" s="12" t="inlineStr">
        <is>
          <t xml:space="preserve">TGF-3: trailer-mounted gas-engine generator ~2.5 MW, 13.8 kV (trailer </t>
        </is>
      </c>
      <c r="I4536" s="12" t="inlineStr">
        <is>
          <t>Control</t>
        </is>
      </c>
      <c r="J4536" s="12" t="inlineStr">
        <is>
          <t>ARMOR-X MC-HL 600 V control, Cu #14 AWG (Class I Div 2)</t>
        </is>
      </c>
      <c r="K4536" s="12" t="inlineStr">
        <is>
          <t>CTAX|12/C|14</t>
        </is>
      </c>
      <c r="L4536" s="12" t="inlineStr">
        <is>
          <t>12/C</t>
        </is>
      </c>
      <c r="M4536" s="12" t="inlineStr">
        <is>
          <t>14</t>
        </is>
      </c>
      <c r="N4536" s="12" t="n">
        <v>1</v>
      </c>
      <c r="O4536" s="12" t="n">
        <v>1</v>
      </c>
      <c r="P4536" s="12" t="n"/>
      <c r="Q4536" s="12" t="n"/>
      <c r="R4536" s="12" t="n"/>
      <c r="S4536" s="12" t="inlineStr">
        <is>
          <t>Surface</t>
        </is>
      </c>
      <c r="T4536" s="15" t="n">
        <v>54</v>
      </c>
      <c r="U4536" s="15" t="n">
        <v>37</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I-C-0296</t>
        </is>
      </c>
      <c r="B4537" s="12" t="inlineStr">
        <is>
          <t>I</t>
        </is>
      </c>
      <c r="C4537" s="12" t="inlineStr">
        <is>
          <t>Modular / portable power</t>
        </is>
      </c>
      <c r="D4537" s="12" t="inlineStr">
        <is>
          <t>TGF-4 control / sync</t>
        </is>
      </c>
      <c r="E4537" s="12" t="inlineStr">
        <is>
          <t>TGF-SWG</t>
        </is>
      </c>
      <c r="F4537" s="12" t="inlineStr">
        <is>
          <t>TGF-SWG: mobile 13.8 kV switchgear trailer (fleet collector)</t>
        </is>
      </c>
      <c r="G4537" s="12" t="inlineStr">
        <is>
          <t>TGF-4</t>
        </is>
      </c>
      <c r="H4537" s="12" t="inlineStr">
        <is>
          <t xml:space="preserve">TGF-4: trailer-mounted gas-engine generator ~2.5 MW, 13.8 kV (trailer </t>
        </is>
      </c>
      <c r="I4537" s="12" t="inlineStr">
        <is>
          <t>Control</t>
        </is>
      </c>
      <c r="J4537" s="12" t="inlineStr">
        <is>
          <t>ARMOR-X MC-HL 600 V control, Cu #14 AWG (Class I Div 2)</t>
        </is>
      </c>
      <c r="K4537" s="12" t="inlineStr">
        <is>
          <t>CTAX|12/C|14</t>
        </is>
      </c>
      <c r="L4537" s="12" t="inlineStr">
        <is>
          <t>12/C</t>
        </is>
      </c>
      <c r="M4537" s="12" t="inlineStr">
        <is>
          <t>14</t>
        </is>
      </c>
      <c r="N4537" s="12" t="n">
        <v>1</v>
      </c>
      <c r="O4537" s="12" t="n">
        <v>1</v>
      </c>
      <c r="P4537" s="12" t="n"/>
      <c r="Q4537" s="12" t="n"/>
      <c r="R4537" s="12" t="n"/>
      <c r="S4537" s="12" t="inlineStr">
        <is>
          <t>Surface</t>
        </is>
      </c>
      <c r="T4537" s="15" t="n">
        <v>40</v>
      </c>
      <c r="U4537" s="15" t="n">
        <v>37</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I-C-0297</t>
        </is>
      </c>
      <c r="B4538" s="12" t="inlineStr">
        <is>
          <t>I</t>
        </is>
      </c>
      <c r="C4538" s="12" t="inlineStr">
        <is>
          <t>Modular / portable power</t>
        </is>
      </c>
      <c r="D4538" s="12" t="inlineStr">
        <is>
          <t>TGF-5 control / sync</t>
        </is>
      </c>
      <c r="E4538" s="12" t="inlineStr">
        <is>
          <t>TGF-SWG</t>
        </is>
      </c>
      <c r="F4538" s="12" t="inlineStr">
        <is>
          <t>TGF-SWG: mobile 13.8 kV switchgear trailer (fleet collector)</t>
        </is>
      </c>
      <c r="G4538" s="12" t="inlineStr">
        <is>
          <t>TGF-5</t>
        </is>
      </c>
      <c r="H4538" s="12" t="inlineStr">
        <is>
          <t xml:space="preserve">TGF-5: trailer-mounted gas-engine generator ~2.5 MW, 13.8 kV (trailer </t>
        </is>
      </c>
      <c r="I4538" s="12" t="inlineStr">
        <is>
          <t>Control</t>
        </is>
      </c>
      <c r="J4538" s="12" t="inlineStr">
        <is>
          <t>ARMOR-X MC-HL 600 V control, Cu #14 AWG (Class I Div 2)</t>
        </is>
      </c>
      <c r="K4538" s="12" t="inlineStr">
        <is>
          <t>CTAX|12/C|14</t>
        </is>
      </c>
      <c r="L4538" s="12" t="inlineStr">
        <is>
          <t>12/C</t>
        </is>
      </c>
      <c r="M4538" s="12" t="inlineStr">
        <is>
          <t>14</t>
        </is>
      </c>
      <c r="N4538" s="12" t="n">
        <v>1</v>
      </c>
      <c r="O4538" s="12" t="n">
        <v>1</v>
      </c>
      <c r="P4538" s="12" t="n"/>
      <c r="Q4538" s="12" t="n"/>
      <c r="R4538" s="12" t="n"/>
      <c r="S4538" s="12" t="inlineStr">
        <is>
          <t>Surface</t>
        </is>
      </c>
      <c r="T4538" s="15" t="n">
        <v>34</v>
      </c>
      <c r="U4538" s="15" t="n">
        <v>31</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I-C-0298</t>
        </is>
      </c>
      <c r="B4539" s="12" t="inlineStr">
        <is>
          <t>I</t>
        </is>
      </c>
      <c r="C4539" s="12" t="inlineStr">
        <is>
          <t>Modular / portable power</t>
        </is>
      </c>
      <c r="D4539" s="12" t="inlineStr">
        <is>
          <t>TGF-6 control / sync</t>
        </is>
      </c>
      <c r="E4539" s="12" t="inlineStr">
        <is>
          <t>TGF-SWG</t>
        </is>
      </c>
      <c r="F4539" s="12" t="inlineStr">
        <is>
          <t>TGF-SWG: mobile 13.8 kV switchgear trailer (fleet collector)</t>
        </is>
      </c>
      <c r="G4539" s="12" t="inlineStr">
        <is>
          <t>TGF-6</t>
        </is>
      </c>
      <c r="H4539" s="12" t="inlineStr">
        <is>
          <t xml:space="preserve">TGF-6: trailer-mounted gas-engine generator ~2.5 MW, 13.8 kV (trailer </t>
        </is>
      </c>
      <c r="I4539" s="12" t="inlineStr">
        <is>
          <t>Control</t>
        </is>
      </c>
      <c r="J4539" s="12" t="inlineStr">
        <is>
          <t>ARMOR-X MC-HL 600 V control, Cu #14 AWG (Class I Div 2)</t>
        </is>
      </c>
      <c r="K4539" s="12" t="inlineStr">
        <is>
          <t>CTAX|12/C|14</t>
        </is>
      </c>
      <c r="L4539" s="12" t="inlineStr">
        <is>
          <t>12/C</t>
        </is>
      </c>
      <c r="M4539" s="12" t="inlineStr">
        <is>
          <t>14</t>
        </is>
      </c>
      <c r="N4539" s="12" t="n">
        <v>1</v>
      </c>
      <c r="O4539" s="12" t="n">
        <v>1</v>
      </c>
      <c r="P4539" s="12" t="n"/>
      <c r="Q4539" s="12" t="n"/>
      <c r="R4539" s="12" t="n"/>
      <c r="S4539" s="12" t="inlineStr">
        <is>
          <t>Surface</t>
        </is>
      </c>
      <c r="T4539" s="15" t="n">
        <v>26</v>
      </c>
      <c r="U4539" s="15" t="n">
        <v>27</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I-C-0299</t>
        </is>
      </c>
      <c r="B4540" s="12" t="inlineStr">
        <is>
          <t>I</t>
        </is>
      </c>
      <c r="C4540" s="12" t="inlineStr">
        <is>
          <t>Modular / portable power</t>
        </is>
      </c>
      <c r="D4540" s="12" t="inlineStr">
        <is>
          <t>TGF-GSU protection / trip / cooling control</t>
        </is>
      </c>
      <c r="E4540" s="12" t="inlineStr">
        <is>
          <t>TGF-SWG</t>
        </is>
      </c>
      <c r="F4540" s="12" t="inlineStr">
        <is>
          <t>TGF-SWG: mobile 13.8 kV switchgear trailer (fleet collector)</t>
        </is>
      </c>
      <c r="G4540" s="12" t="inlineStr">
        <is>
          <t>TGF-GSU</t>
        </is>
      </c>
      <c r="H4540" s="12" t="inlineStr">
        <is>
          <t>TGF-GSU: 13.8 / 34.5 kV step-up, ~20 MVA (trailer fleet)</t>
        </is>
      </c>
      <c r="I4540" s="12" t="inlineStr">
        <is>
          <t>Control</t>
        </is>
      </c>
      <c r="J4540" s="12" t="inlineStr">
        <is>
          <t>Control cable 600 V Type TC-ER, Cu #14 AWG, PVC jacket</t>
        </is>
      </c>
      <c r="K4540" s="12" t="inlineStr">
        <is>
          <t>CT|12/C|14</t>
        </is>
      </c>
      <c r="L4540" s="12" t="inlineStr">
        <is>
          <t>12/C</t>
        </is>
      </c>
      <c r="M4540" s="12" t="inlineStr">
        <is>
          <t>14</t>
        </is>
      </c>
      <c r="N4540" s="12" t="n">
        <v>1</v>
      </c>
      <c r="O4540" s="12" t="n">
        <v>1</v>
      </c>
      <c r="P4540" s="12" t="n"/>
      <c r="Q4540" s="12" t="n"/>
      <c r="R4540" s="12" t="n"/>
      <c r="S4540" s="12" t="inlineStr">
        <is>
          <t>Surface</t>
        </is>
      </c>
      <c r="T4540" s="15" t="n">
        <v>36</v>
      </c>
      <c r="U4540" s="15" t="n">
        <v>27</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I-C-0300</t>
        </is>
      </c>
      <c r="B4541" s="12" t="inlineStr">
        <is>
          <t>I</t>
        </is>
      </c>
      <c r="C4541" s="12" t="inlineStr">
        <is>
          <t>Modular / portable power</t>
        </is>
      </c>
      <c r="D4541" s="12" t="inlineStr">
        <is>
          <t>TGF-1 generator CT / VT secondaries to the protection</t>
        </is>
      </c>
      <c r="E4541" s="12" t="inlineStr">
        <is>
          <t>TGF-1</t>
        </is>
      </c>
      <c r="F4541" s="12" t="inlineStr">
        <is>
          <t xml:space="preserve">TGF-1: trailer-mounted gas-engine generator ~2.5 MW, 13.8 kV (trailer </t>
        </is>
      </c>
      <c r="G4541" s="12" t="inlineStr">
        <is>
          <t>TGF-SWG</t>
        </is>
      </c>
      <c r="H4541" s="12" t="inlineStr">
        <is>
          <t>TGF-SWG: mobile 13.8 kV switchgear trailer (fleet collector)</t>
        </is>
      </c>
      <c r="I4541" s="12" t="inlineStr">
        <is>
          <t>Control</t>
        </is>
      </c>
      <c r="J4541" s="12" t="inlineStr">
        <is>
          <t>Control cable 600 V Type TC-ER, Cu #10 AWG (CT / VT circuits)</t>
        </is>
      </c>
      <c r="K4541" s="12" t="inlineStr">
        <is>
          <t>CTCT|12/C|10</t>
        </is>
      </c>
      <c r="L4541" s="12" t="inlineStr">
        <is>
          <t>12/C</t>
        </is>
      </c>
      <c r="M4541" s="12" t="inlineStr">
        <is>
          <t>10</t>
        </is>
      </c>
      <c r="N4541" s="12" t="n">
        <v>1</v>
      </c>
      <c r="O4541" s="12" t="n">
        <v>1</v>
      </c>
      <c r="P4541" s="12" t="n"/>
      <c r="Q4541" s="12" t="n"/>
      <c r="R4541" s="12" t="n"/>
      <c r="S4541" s="12" t="inlineStr">
        <is>
          <t>Surface</t>
        </is>
      </c>
      <c r="T4541" s="15" t="n">
        <v>92</v>
      </c>
      <c r="U4541" s="15" t="n">
        <v>27</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I-C-0301</t>
        </is>
      </c>
      <c r="B4542" s="12" t="inlineStr">
        <is>
          <t>I</t>
        </is>
      </c>
      <c r="C4542" s="12" t="inlineStr">
        <is>
          <t>Modular / portable power</t>
        </is>
      </c>
      <c r="D4542" s="12" t="inlineStr">
        <is>
          <t>TGF-2 generator CT / VT secondaries to the protection</t>
        </is>
      </c>
      <c r="E4542" s="12" t="inlineStr">
        <is>
          <t>TGF-2</t>
        </is>
      </c>
      <c r="F4542" s="12" t="inlineStr">
        <is>
          <t xml:space="preserve">TGF-2: trailer-mounted gas-engine generator ~2.5 MW, 13.8 kV (trailer </t>
        </is>
      </c>
      <c r="G4542" s="12" t="inlineStr">
        <is>
          <t>TGF-SWG</t>
        </is>
      </c>
      <c r="H4542" s="12" t="inlineStr">
        <is>
          <t>TGF-SWG: mobile 13.8 kV switchgear trailer (fleet collector)</t>
        </is>
      </c>
      <c r="I4542" s="12" t="inlineStr">
        <is>
          <t>Control</t>
        </is>
      </c>
      <c r="J4542" s="12" t="inlineStr">
        <is>
          <t>Control cable 600 V Type TC-ER, Cu #10 AWG (CT / VT circuits)</t>
        </is>
      </c>
      <c r="K4542" s="12" t="inlineStr">
        <is>
          <t>CTCT|12/C|10</t>
        </is>
      </c>
      <c r="L4542" s="12" t="inlineStr">
        <is>
          <t>12/C</t>
        </is>
      </c>
      <c r="M4542" s="12" t="inlineStr">
        <is>
          <t>10</t>
        </is>
      </c>
      <c r="N4542" s="12" t="n">
        <v>1</v>
      </c>
      <c r="O4542" s="12" t="n">
        <v>1</v>
      </c>
      <c r="P4542" s="12" t="n"/>
      <c r="Q4542" s="12" t="n"/>
      <c r="R4542" s="12" t="n"/>
      <c r="S4542" s="12" t="inlineStr">
        <is>
          <t>Surface</t>
        </is>
      </c>
      <c r="T4542" s="15" t="n">
        <v>78</v>
      </c>
      <c r="U4542" s="15" t="n">
        <v>27</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I-C-0302</t>
        </is>
      </c>
      <c r="B4543" s="12" t="inlineStr">
        <is>
          <t>I</t>
        </is>
      </c>
      <c r="C4543" s="12" t="inlineStr">
        <is>
          <t>Modular / portable power</t>
        </is>
      </c>
      <c r="D4543" s="12" t="inlineStr">
        <is>
          <t>TGF-3 generator CT / VT secondaries to the protection</t>
        </is>
      </c>
      <c r="E4543" s="12" t="inlineStr">
        <is>
          <t>TGF-3</t>
        </is>
      </c>
      <c r="F4543" s="12" t="inlineStr">
        <is>
          <t xml:space="preserve">TGF-3: trailer-mounted gas-engine generator ~2.5 MW, 13.8 kV (trailer </t>
        </is>
      </c>
      <c r="G4543" s="12" t="inlineStr">
        <is>
          <t>TGF-SWG</t>
        </is>
      </c>
      <c r="H4543" s="12" t="inlineStr">
        <is>
          <t>TGF-SWG: mobile 13.8 kV switchgear trailer (fleet collector)</t>
        </is>
      </c>
      <c r="I4543" s="12" t="inlineStr">
        <is>
          <t>Control</t>
        </is>
      </c>
      <c r="J4543" s="12" t="inlineStr">
        <is>
          <t>Control cable 600 V Type TC-ER, Cu #10 AWG (CT / VT circuits)</t>
        </is>
      </c>
      <c r="K4543" s="12" t="inlineStr">
        <is>
          <t>CTCT|12/C|10</t>
        </is>
      </c>
      <c r="L4543" s="12" t="inlineStr">
        <is>
          <t>12/C</t>
        </is>
      </c>
      <c r="M4543" s="12" t="inlineStr">
        <is>
          <t>10</t>
        </is>
      </c>
      <c r="N4543" s="12" t="n">
        <v>1</v>
      </c>
      <c r="O4543" s="12" t="n">
        <v>1</v>
      </c>
      <c r="P4543" s="12" t="n"/>
      <c r="Q4543" s="12" t="n"/>
      <c r="R4543" s="12" t="n"/>
      <c r="S4543" s="12" t="inlineStr">
        <is>
          <t>Surface</t>
        </is>
      </c>
      <c r="T4543" s="15" t="n">
        <v>64</v>
      </c>
      <c r="U4543" s="15" t="n">
        <v>27</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I-C-0303</t>
        </is>
      </c>
      <c r="B4544" s="12" t="inlineStr">
        <is>
          <t>I</t>
        </is>
      </c>
      <c r="C4544" s="12" t="inlineStr">
        <is>
          <t>Modular / portable power</t>
        </is>
      </c>
      <c r="D4544" s="12" t="inlineStr">
        <is>
          <t>TGF-4 generator CT / VT secondaries to the protection</t>
        </is>
      </c>
      <c r="E4544" s="12" t="inlineStr">
        <is>
          <t>TGF-4</t>
        </is>
      </c>
      <c r="F4544" s="12" t="inlineStr">
        <is>
          <t xml:space="preserve">TGF-4: trailer-mounted gas-engine generator ~2.5 MW, 13.8 kV (trailer </t>
        </is>
      </c>
      <c r="G4544" s="12" t="inlineStr">
        <is>
          <t>TGF-SWG</t>
        </is>
      </c>
      <c r="H4544" s="12" t="inlineStr">
        <is>
          <t>TGF-SWG: mobile 13.8 kV switchgear trailer (fleet collector)</t>
        </is>
      </c>
      <c r="I4544" s="12" t="inlineStr">
        <is>
          <t>Control</t>
        </is>
      </c>
      <c r="J4544" s="12" t="inlineStr">
        <is>
          <t>Control cable 600 V Type TC-ER, Cu #10 AWG (CT / VT circuits)</t>
        </is>
      </c>
      <c r="K4544" s="12" t="inlineStr">
        <is>
          <t>CTCT|12/C|10</t>
        </is>
      </c>
      <c r="L4544" s="12" t="inlineStr">
        <is>
          <t>12/C</t>
        </is>
      </c>
      <c r="M4544" s="12" t="inlineStr">
        <is>
          <t>10</t>
        </is>
      </c>
      <c r="N4544" s="12" t="n">
        <v>1</v>
      </c>
      <c r="O4544" s="12" t="n">
        <v>1</v>
      </c>
      <c r="P4544" s="12" t="n"/>
      <c r="Q4544" s="12" t="n"/>
      <c r="R4544" s="12" t="n"/>
      <c r="S4544" s="12" t="inlineStr">
        <is>
          <t>Surface</t>
        </is>
      </c>
      <c r="T4544" s="15" t="n">
        <v>50</v>
      </c>
      <c r="U4544" s="15" t="n">
        <v>27</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I-C-0304</t>
        </is>
      </c>
      <c r="B4545" s="12" t="inlineStr">
        <is>
          <t>I</t>
        </is>
      </c>
      <c r="C4545" s="12" t="inlineStr">
        <is>
          <t>Modular / portable power</t>
        </is>
      </c>
      <c r="D4545" s="12" t="inlineStr">
        <is>
          <t>TGF-5 generator CT / VT secondaries to the protection</t>
        </is>
      </c>
      <c r="E4545" s="12" t="inlineStr">
        <is>
          <t>TGF-5</t>
        </is>
      </c>
      <c r="F4545" s="12" t="inlineStr">
        <is>
          <t xml:space="preserve">TGF-5: trailer-mounted gas-engine generator ~2.5 MW, 13.8 kV (trailer </t>
        </is>
      </c>
      <c r="G4545" s="12" t="inlineStr">
        <is>
          <t>TGF-SWG</t>
        </is>
      </c>
      <c r="H4545" s="12" t="inlineStr">
        <is>
          <t>TGF-SWG: mobile 13.8 kV switchgear trailer (fleet collector)</t>
        </is>
      </c>
      <c r="I4545" s="12" t="inlineStr">
        <is>
          <t>Control</t>
        </is>
      </c>
      <c r="J4545" s="12" t="inlineStr">
        <is>
          <t>Control cable 600 V Type TC-ER, Cu #10 AWG (CT / VT circuits)</t>
        </is>
      </c>
      <c r="K4545" s="12" t="inlineStr">
        <is>
          <t>CTCT|12/C|10</t>
        </is>
      </c>
      <c r="L4545" s="12" t="inlineStr">
        <is>
          <t>12/C</t>
        </is>
      </c>
      <c r="M4545" s="12" t="inlineStr">
        <is>
          <t>10</t>
        </is>
      </c>
      <c r="N4545" s="12" t="n">
        <v>1</v>
      </c>
      <c r="O4545" s="12" t="n">
        <v>1</v>
      </c>
      <c r="P4545" s="12" t="n"/>
      <c r="Q4545" s="12" t="n"/>
      <c r="R4545" s="12" t="n"/>
      <c r="S4545" s="12" t="inlineStr">
        <is>
          <t>Surface</t>
        </is>
      </c>
      <c r="T4545" s="15" t="n">
        <v>38</v>
      </c>
      <c r="U4545" s="15" t="n">
        <v>27</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I-C-0305</t>
        </is>
      </c>
      <c r="B4546" s="12" t="inlineStr">
        <is>
          <t>I</t>
        </is>
      </c>
      <c r="C4546" s="12" t="inlineStr">
        <is>
          <t>Modular / portable power</t>
        </is>
      </c>
      <c r="D4546" s="12" t="inlineStr">
        <is>
          <t>TGF-6 generator CT / VT secondaries to the protection</t>
        </is>
      </c>
      <c r="E4546" s="12" t="inlineStr">
        <is>
          <t>TGF-6</t>
        </is>
      </c>
      <c r="F4546" s="12" t="inlineStr">
        <is>
          <t xml:space="preserve">TGF-6: trailer-mounted gas-engine generator ~2.5 MW, 13.8 kV (trailer </t>
        </is>
      </c>
      <c r="G4546" s="12" t="inlineStr">
        <is>
          <t>TGF-SWG</t>
        </is>
      </c>
      <c r="H4546" s="12" t="inlineStr">
        <is>
          <t>TGF-SWG: mobile 13.8 kV switchgear trailer (fleet collector)</t>
        </is>
      </c>
      <c r="I4546" s="12" t="inlineStr">
        <is>
          <t>Control</t>
        </is>
      </c>
      <c r="J4546" s="12" t="inlineStr">
        <is>
          <t>Control cable 600 V Type TC-ER, Cu #10 AWG (CT / VT circuits)</t>
        </is>
      </c>
      <c r="K4546" s="12" t="inlineStr">
        <is>
          <t>CTCT|12/C|10</t>
        </is>
      </c>
      <c r="L4546" s="12" t="inlineStr">
        <is>
          <t>12/C</t>
        </is>
      </c>
      <c r="M4546" s="12" t="inlineStr">
        <is>
          <t>10</t>
        </is>
      </c>
      <c r="N4546" s="12" t="n">
        <v>1</v>
      </c>
      <c r="O4546" s="12" t="n">
        <v>1</v>
      </c>
      <c r="P4546" s="12" t="n"/>
      <c r="Q4546" s="12" t="n"/>
      <c r="R4546" s="12" t="n"/>
      <c r="S4546" s="12" t="inlineStr">
        <is>
          <t>Surface</t>
        </is>
      </c>
      <c r="T4546" s="15" t="n">
        <v>26</v>
      </c>
      <c r="U4546" s="15" t="n">
        <v>27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I-C-0306</t>
        </is>
      </c>
      <c r="B4547" s="12" t="inlineStr">
        <is>
          <t>I</t>
        </is>
      </c>
      <c r="C4547" s="12" t="inlineStr">
        <is>
          <t>Modular / portable power</t>
        </is>
      </c>
      <c r="D4547" s="12" t="inlineStr">
        <is>
          <t>Motor 1 of 6: control / local station</t>
        </is>
      </c>
      <c r="E4547" s="12" t="inlineStr"/>
      <c r="F4547" s="12" t="inlineStr">
        <is>
          <t>MOD-LV 480 V board + 480 V : 13.8 kV step-up</t>
        </is>
      </c>
      <c r="G4547" s="12" t="inlineStr">
        <is>
          <t>TM-1</t>
        </is>
      </c>
      <c r="H4547" s="12" t="inlineStr">
        <is>
          <t>TM-1: trailer-mounted aeroderivative GT (~35 MW)</t>
        </is>
      </c>
      <c r="I4547" s="12" t="inlineStr">
        <is>
          <t>Control</t>
        </is>
      </c>
      <c r="J4547" s="12" t="inlineStr">
        <is>
          <t>Control cable 600 V Type TC-ER, Cu #14 AWG, PVC jacket</t>
        </is>
      </c>
      <c r="K4547" s="12" t="inlineStr">
        <is>
          <t>CT|7/C|14</t>
        </is>
      </c>
      <c r="L4547" s="12" t="inlineStr">
        <is>
          <t>7/C</t>
        </is>
      </c>
      <c r="M4547" s="12" t="inlineStr">
        <is>
          <t>14</t>
        </is>
      </c>
      <c r="N4547" s="12" t="n">
        <v>1</v>
      </c>
      <c r="O4547" s="12" t="n">
        <v>1</v>
      </c>
      <c r="P4547" s="12" t="n"/>
      <c r="Q4547" s="12" t="n"/>
      <c r="R4547" s="12" t="n"/>
      <c r="S4547" s="12" t="inlineStr">
        <is>
          <t>Duct bank</t>
        </is>
      </c>
      <c r="T4547" s="15" t="n">
        <v>323</v>
      </c>
      <c r="U4547" s="15" t="n">
        <v>38</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I-C-0307</t>
        </is>
      </c>
      <c r="B4548" s="12" t="inlineStr">
        <is>
          <t>I</t>
        </is>
      </c>
      <c r="C4548" s="12" t="inlineStr">
        <is>
          <t>Modular / portable power</t>
        </is>
      </c>
      <c r="D4548" s="12" t="inlineStr">
        <is>
          <t>Motor 2 of 6: control / local station</t>
        </is>
      </c>
      <c r="E4548" s="12" t="inlineStr"/>
      <c r="F4548" s="12" t="inlineStr">
        <is>
          <t>MOD-LV 480 V board + 480 V : 13.8 kV step-up</t>
        </is>
      </c>
      <c r="G4548" s="12" t="inlineStr">
        <is>
          <t>TM-1</t>
        </is>
      </c>
      <c r="H4548" s="12" t="inlineStr">
        <is>
          <t>TM-1: trailer-mounted aeroderivative GT (~35 MW)</t>
        </is>
      </c>
      <c r="I4548" s="12" t="inlineStr">
        <is>
          <t>Control</t>
        </is>
      </c>
      <c r="J4548" s="12" t="inlineStr">
        <is>
          <t>Control cable 600 V Type TC-ER, Cu #14 AWG, PVC jacket</t>
        </is>
      </c>
      <c r="K4548" s="12" t="inlineStr">
        <is>
          <t>CT|7/C|14</t>
        </is>
      </c>
      <c r="L4548" s="12" t="inlineStr">
        <is>
          <t>7/C</t>
        </is>
      </c>
      <c r="M4548" s="12" t="inlineStr">
        <is>
          <t>14</t>
        </is>
      </c>
      <c r="N4548" s="12" t="n">
        <v>1</v>
      </c>
      <c r="O4548" s="12" t="n">
        <v>1</v>
      </c>
      <c r="P4548" s="12" t="n"/>
      <c r="Q4548" s="12" t="n"/>
      <c r="R4548" s="12" t="n"/>
      <c r="S4548" s="12" t="inlineStr">
        <is>
          <t>Duct bank</t>
        </is>
      </c>
      <c r="T4548" s="15" t="n">
        <v>323</v>
      </c>
      <c r="U4548" s="15" t="n">
        <v>38</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I-C-0308</t>
        </is>
      </c>
      <c r="B4549" s="12" t="inlineStr">
        <is>
          <t>I</t>
        </is>
      </c>
      <c r="C4549" s="12" t="inlineStr">
        <is>
          <t>Modular / portable power</t>
        </is>
      </c>
      <c r="D4549" s="12" t="inlineStr">
        <is>
          <t>Motor 3 of 6: control / local station</t>
        </is>
      </c>
      <c r="E4549" s="12" t="inlineStr"/>
      <c r="F4549" s="12" t="inlineStr">
        <is>
          <t>MOD-LV 480 V board + 480 V : 13.8 kV step-up</t>
        </is>
      </c>
      <c r="G4549" s="12" t="inlineStr">
        <is>
          <t>TM-1</t>
        </is>
      </c>
      <c r="H4549" s="12" t="inlineStr">
        <is>
          <t>TM-1: trailer-mounted aeroderivative GT (~35 MW)</t>
        </is>
      </c>
      <c r="I4549" s="12" t="inlineStr">
        <is>
          <t>Control</t>
        </is>
      </c>
      <c r="J4549" s="12" t="inlineStr">
        <is>
          <t>Control cable 600 V Type TC-ER, Cu #14 AWG, PVC jacket</t>
        </is>
      </c>
      <c r="K4549" s="12" t="inlineStr">
        <is>
          <t>CT|7/C|14</t>
        </is>
      </c>
      <c r="L4549" s="12" t="inlineStr">
        <is>
          <t>7/C</t>
        </is>
      </c>
      <c r="M4549" s="12" t="inlineStr">
        <is>
          <t>14</t>
        </is>
      </c>
      <c r="N4549" s="12" t="n">
        <v>1</v>
      </c>
      <c r="O4549" s="12" t="n">
        <v>1</v>
      </c>
      <c r="P4549" s="12" t="n"/>
      <c r="Q4549" s="12" t="n"/>
      <c r="R4549" s="12" t="n"/>
      <c r="S4549" s="12" t="inlineStr">
        <is>
          <t>Duct bank</t>
        </is>
      </c>
      <c r="T4549" s="15" t="n">
        <v>323</v>
      </c>
      <c r="U4549" s="15" t="n">
        <v>38</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I-C-0309</t>
        </is>
      </c>
      <c r="B4550" s="12" t="inlineStr">
        <is>
          <t>I</t>
        </is>
      </c>
      <c r="C4550" s="12" t="inlineStr">
        <is>
          <t>Modular / portable power</t>
        </is>
      </c>
      <c r="D4550" s="12" t="inlineStr">
        <is>
          <t>Motor 4 of 6: control / local station</t>
        </is>
      </c>
      <c r="E4550" s="12" t="inlineStr"/>
      <c r="F4550" s="12" t="inlineStr">
        <is>
          <t>MOD-LV 480 V board + 480 V : 13.8 kV step-up</t>
        </is>
      </c>
      <c r="G4550" s="12" t="inlineStr">
        <is>
          <t>TM-1</t>
        </is>
      </c>
      <c r="H4550" s="12" t="inlineStr">
        <is>
          <t>TM-1: trailer-mounted aeroderivative GT (~35 MW)</t>
        </is>
      </c>
      <c r="I4550" s="12" t="inlineStr">
        <is>
          <t>Control</t>
        </is>
      </c>
      <c r="J4550" s="12" t="inlineStr">
        <is>
          <t>Control cable 600 V Type TC-ER, Cu #14 AWG, PVC jacket</t>
        </is>
      </c>
      <c r="K4550" s="12" t="inlineStr">
        <is>
          <t>CT|7/C|14</t>
        </is>
      </c>
      <c r="L4550" s="12" t="inlineStr">
        <is>
          <t>7/C</t>
        </is>
      </c>
      <c r="M4550" s="12" t="inlineStr">
        <is>
          <t>14</t>
        </is>
      </c>
      <c r="N4550" s="12" t="n">
        <v>1</v>
      </c>
      <c r="O4550" s="12" t="n">
        <v>1</v>
      </c>
      <c r="P4550" s="12" t="n"/>
      <c r="Q4550" s="12" t="n"/>
      <c r="R4550" s="12" t="n"/>
      <c r="S4550" s="12" t="inlineStr">
        <is>
          <t>Duct bank</t>
        </is>
      </c>
      <c r="T4550" s="15" t="n">
        <v>323</v>
      </c>
      <c r="U4550" s="15" t="n">
        <v>38</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I-C-0310</t>
        </is>
      </c>
      <c r="B4551" s="12" t="inlineStr">
        <is>
          <t>I</t>
        </is>
      </c>
      <c r="C4551" s="12" t="inlineStr">
        <is>
          <t>Modular / portable power</t>
        </is>
      </c>
      <c r="D4551" s="12" t="inlineStr">
        <is>
          <t>Motor 5 of 6: control / local station</t>
        </is>
      </c>
      <c r="E4551" s="12" t="inlineStr"/>
      <c r="F4551" s="12" t="inlineStr">
        <is>
          <t>MOD-LV 480 V board + 480 V : 13.8 kV step-up</t>
        </is>
      </c>
      <c r="G4551" s="12" t="inlineStr">
        <is>
          <t>TM-1</t>
        </is>
      </c>
      <c r="H4551" s="12" t="inlineStr">
        <is>
          <t>TM-1: trailer-mounted aeroderivative GT (~35 MW)</t>
        </is>
      </c>
      <c r="I4551" s="12" t="inlineStr">
        <is>
          <t>Control</t>
        </is>
      </c>
      <c r="J4551" s="12" t="inlineStr">
        <is>
          <t>Control cable 600 V Type TC-ER, Cu #14 AWG, PVC jacket</t>
        </is>
      </c>
      <c r="K4551" s="12" t="inlineStr">
        <is>
          <t>CT|7/C|14</t>
        </is>
      </c>
      <c r="L4551" s="12" t="inlineStr">
        <is>
          <t>7/C</t>
        </is>
      </c>
      <c r="M4551" s="12" t="inlineStr">
        <is>
          <t>14</t>
        </is>
      </c>
      <c r="N4551" s="12" t="n">
        <v>1</v>
      </c>
      <c r="O4551" s="12" t="n">
        <v>1</v>
      </c>
      <c r="P4551" s="12" t="n"/>
      <c r="Q4551" s="12" t="n"/>
      <c r="R4551" s="12" t="n"/>
      <c r="S4551" s="12" t="inlineStr">
        <is>
          <t>Duct bank</t>
        </is>
      </c>
      <c r="T4551" s="15" t="n">
        <v>323</v>
      </c>
      <c r="U4551" s="15" t="n">
        <v>38</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I-C-0311</t>
        </is>
      </c>
      <c r="B4552" s="12" t="inlineStr">
        <is>
          <t>I</t>
        </is>
      </c>
      <c r="C4552" s="12" t="inlineStr">
        <is>
          <t>Modular / portable power</t>
        </is>
      </c>
      <c r="D4552" s="12" t="inlineStr">
        <is>
          <t>Motor 6 of 6: control / local station</t>
        </is>
      </c>
      <c r="E4552" s="12" t="inlineStr"/>
      <c r="F4552" s="12" t="inlineStr">
        <is>
          <t>MOD-LV 480 V board + 480 V : 13.8 kV step-up</t>
        </is>
      </c>
      <c r="G4552" s="12" t="inlineStr">
        <is>
          <t>TM-1</t>
        </is>
      </c>
      <c r="H4552" s="12" t="inlineStr">
        <is>
          <t>TM-1: trailer-mounted aeroderivative GT (~35 MW)</t>
        </is>
      </c>
      <c r="I4552" s="12" t="inlineStr">
        <is>
          <t>Control</t>
        </is>
      </c>
      <c r="J4552" s="12" t="inlineStr">
        <is>
          <t>Control cable 600 V Type TC-ER, Cu #14 AWG, PVC jacket</t>
        </is>
      </c>
      <c r="K4552" s="12" t="inlineStr">
        <is>
          <t>CT|7/C|14</t>
        </is>
      </c>
      <c r="L4552" s="12" t="inlineStr">
        <is>
          <t>7/C</t>
        </is>
      </c>
      <c r="M4552" s="12" t="inlineStr">
        <is>
          <t>14</t>
        </is>
      </c>
      <c r="N4552" s="12" t="n">
        <v>1</v>
      </c>
      <c r="O4552" s="12" t="n">
        <v>1</v>
      </c>
      <c r="P4552" s="12" t="n"/>
      <c r="Q4552" s="12" t="n"/>
      <c r="R4552" s="12" t="n"/>
      <c r="S4552" s="12" t="inlineStr">
        <is>
          <t>Duct bank</t>
        </is>
      </c>
      <c r="T4552" s="15" t="n">
        <v>323</v>
      </c>
      <c r="U4552" s="15" t="n">
        <v>38</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I-C-0312</t>
        </is>
      </c>
      <c r="B4553" s="12" t="inlineStr">
        <is>
          <t>I</t>
        </is>
      </c>
      <c r="C4553" s="12" t="inlineStr">
        <is>
          <t>Modular / portable power</t>
        </is>
      </c>
      <c r="D4553" s="12" t="inlineStr">
        <is>
          <t>Motor 1 of 2: control / local station</t>
        </is>
      </c>
      <c r="E4553" s="12" t="inlineStr"/>
      <c r="F4553" s="12" t="inlineStr">
        <is>
          <t>SC-2 PCM + 15 kV GCB</t>
        </is>
      </c>
      <c r="G4553" s="12" t="inlineStr"/>
      <c r="H4553" s="12" t="inlineStr">
        <is>
          <t>Water-injection skid</t>
        </is>
      </c>
      <c r="I4553" s="12" t="inlineStr">
        <is>
          <t>Control</t>
        </is>
      </c>
      <c r="J4553" s="12" t="inlineStr">
        <is>
          <t>Control cable 600 V Type TC-ER, Cu #14 AWG, PVC jacket</t>
        </is>
      </c>
      <c r="K4553" s="12" t="inlineStr">
        <is>
          <t>CT|7/C|14</t>
        </is>
      </c>
      <c r="L4553" s="12" t="inlineStr">
        <is>
          <t>7/C</t>
        </is>
      </c>
      <c r="M4553" s="12" t="inlineStr">
        <is>
          <t>14</t>
        </is>
      </c>
      <c r="N4553" s="12" t="n">
        <v>1</v>
      </c>
      <c r="O4553" s="12" t="n">
        <v>1</v>
      </c>
      <c r="P4553" s="12" t="n"/>
      <c r="Q4553" s="12" t="n"/>
      <c r="R4553" s="12" t="n"/>
      <c r="S4553" s="12" t="inlineStr">
        <is>
          <t>Duct bank</t>
        </is>
      </c>
      <c r="T4553" s="15" t="n">
        <v>0</v>
      </c>
      <c r="U4553" s="15" t="n">
        <v>60</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I-C-0313</t>
        </is>
      </c>
      <c r="B4554" s="12" t="inlineStr">
        <is>
          <t>I</t>
        </is>
      </c>
      <c r="C4554" s="12" t="inlineStr">
        <is>
          <t>Modular / portable power</t>
        </is>
      </c>
      <c r="D4554" s="12" t="inlineStr">
        <is>
          <t>Motor 2 of 2: control / local station</t>
        </is>
      </c>
      <c r="E4554" s="12" t="inlineStr"/>
      <c r="F4554" s="12" t="inlineStr">
        <is>
          <t>SC-2 PCM + 15 kV GCB</t>
        </is>
      </c>
      <c r="G4554" s="12" t="inlineStr"/>
      <c r="H4554" s="12" t="inlineStr">
        <is>
          <t>Water-injection skid</t>
        </is>
      </c>
      <c r="I4554" s="12" t="inlineStr">
        <is>
          <t>Control</t>
        </is>
      </c>
      <c r="J4554" s="12" t="inlineStr">
        <is>
          <t>Control cable 600 V Type TC-ER, Cu #14 AWG, PVC jacket</t>
        </is>
      </c>
      <c r="K4554" s="12" t="inlineStr">
        <is>
          <t>CT|7/C|14</t>
        </is>
      </c>
      <c r="L4554" s="12" t="inlineStr">
        <is>
          <t>7/C</t>
        </is>
      </c>
      <c r="M4554" s="12" t="inlineStr">
        <is>
          <t>14</t>
        </is>
      </c>
      <c r="N4554" s="12" t="n">
        <v>1</v>
      </c>
      <c r="O4554" s="12" t="n">
        <v>1</v>
      </c>
      <c r="P4554" s="12" t="n"/>
      <c r="Q4554" s="12" t="n"/>
      <c r="R4554" s="12" t="n"/>
      <c r="S4554" s="12" t="inlineStr">
        <is>
          <t>Duct bank</t>
        </is>
      </c>
      <c r="T4554" s="15" t="n">
        <v>0</v>
      </c>
      <c r="U4554" s="15" t="n">
        <v>60</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I-C-0314</t>
        </is>
      </c>
      <c r="B4555" s="12" t="inlineStr">
        <is>
          <t>I</t>
        </is>
      </c>
      <c r="C4555" s="12" t="inlineStr">
        <is>
          <t>Modular / portable power</t>
        </is>
      </c>
      <c r="D4555" s="12" t="inlineStr">
        <is>
          <t>Solenoid to JB JB-Water-injection sk-SOL01: 2 x 2/C (field cables)</t>
        </is>
      </c>
      <c r="E4555" s="12" t="inlineStr"/>
      <c r="F4555" s="12" t="inlineStr">
        <is>
          <t>Water-injection skid</t>
        </is>
      </c>
      <c r="G4555" s="12" t="inlineStr">
        <is>
          <t>JB-Water-injection sk-SOL01</t>
        </is>
      </c>
      <c r="H4555" s="12" t="inlineStr">
        <is>
          <t>Water-injection skid</t>
        </is>
      </c>
      <c r="I4555" s="12" t="inlineStr">
        <is>
          <t>Control</t>
        </is>
      </c>
      <c r="J4555" s="12" t="inlineStr">
        <is>
          <t>Control cable 600 V Type TC-ER, Cu #14 AWG, PVC jacket</t>
        </is>
      </c>
      <c r="K4555" s="12" t="inlineStr">
        <is>
          <t>CT|2/C|14</t>
        </is>
      </c>
      <c r="L4555" s="12" t="inlineStr">
        <is>
          <t>2/C</t>
        </is>
      </c>
      <c r="M4555" s="12" t="inlineStr">
        <is>
          <t>14</t>
        </is>
      </c>
      <c r="N4555" s="12" t="n">
        <v>2</v>
      </c>
      <c r="O4555" s="12" t="n">
        <v>1</v>
      </c>
      <c r="P4555" s="12" t="n"/>
      <c r="Q4555" s="12" t="n"/>
      <c r="R4555" s="12" t="n"/>
      <c r="S4555" s="12" t="inlineStr">
        <is>
          <t>Tray / conduit</t>
        </is>
      </c>
      <c r="T4555" s="15" t="n">
        <v>43</v>
      </c>
      <c r="U4555" s="15" t="n">
        <v>10</v>
      </c>
      <c r="V4555" s="15">
        <f>ROUNDUP((T4555+U4555+2*'Read Me'!$B$13)*(1+'Read Me'!$B$12),-1)</f>
        <v/>
      </c>
      <c r="W4555" s="15">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I-C-0315</t>
        </is>
      </c>
      <c r="B4556" s="12" t="inlineStr">
        <is>
          <t>I</t>
        </is>
      </c>
      <c r="C4556" s="12" t="inlineStr">
        <is>
          <t>Modular / portable power</t>
        </is>
      </c>
      <c r="D4556" s="12" t="inlineStr">
        <is>
          <t>Home run JB-Water-injection sk-SOL01 to the control / marshalling room</t>
        </is>
      </c>
      <c r="E4556" s="12" t="inlineStr"/>
      <c r="F4556" s="12" t="inlineStr">
        <is>
          <t>SC-2 PCM + 15 kV GCB</t>
        </is>
      </c>
      <c r="G4556" s="12" t="inlineStr">
        <is>
          <t>JB-Water-injection sk-SOL01</t>
        </is>
      </c>
      <c r="H4556" s="12" t="inlineStr">
        <is>
          <t>Water-injection skid</t>
        </is>
      </c>
      <c r="I4556" s="12" t="inlineStr">
        <is>
          <t>Control</t>
        </is>
      </c>
      <c r="J4556" s="12" t="inlineStr">
        <is>
          <t>Control cable 600 V Type TC-ER, Cu #14 AWG, PVC jacket</t>
        </is>
      </c>
      <c r="K4556" s="12" t="inlineStr">
        <is>
          <t>CT|25/C|14</t>
        </is>
      </c>
      <c r="L4556" s="12" t="inlineStr">
        <is>
          <t>25/C</t>
        </is>
      </c>
      <c r="M4556" s="12" t="inlineStr">
        <is>
          <t>14</t>
        </is>
      </c>
      <c r="N4556" s="12" t="n">
        <v>1</v>
      </c>
      <c r="O4556" s="12" t="n">
        <v>1</v>
      </c>
      <c r="P4556" s="12" t="n"/>
      <c r="Q4556" s="12" t="n"/>
      <c r="R4556" s="12" t="n"/>
      <c r="S4556" s="12" t="inlineStr">
        <is>
          <t>Duct bank</t>
        </is>
      </c>
      <c r="T4556" s="15" t="n">
        <v>0</v>
      </c>
      <c r="U4556" s="15" t="n">
        <v>60</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I-F-0001</t>
        </is>
      </c>
      <c r="B4557" s="12" t="inlineStr">
        <is>
          <t>I</t>
        </is>
      </c>
      <c r="C4557" s="12" t="inlineStr">
        <is>
          <t>Modular / portable power</t>
        </is>
      </c>
      <c r="D4557" s="12" t="inlineStr">
        <is>
          <t>AX-1 unit control: plant network / DCS fibre</t>
        </is>
      </c>
      <c r="E4557" s="12" t="inlineStr">
        <is>
          <t>CR</t>
        </is>
      </c>
      <c r="F4557" s="12" t="inlineStr">
        <is>
          <t>Control / admin building (main control room)</t>
        </is>
      </c>
      <c r="G4557" s="12" t="inlineStr">
        <is>
          <t>AX-1</t>
        </is>
      </c>
      <c r="H4557" s="12" t="inlineStr">
        <is>
          <t>AX-1: compact modular aeroderivative installation, ~35 MW class (~35 M</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3737</v>
      </c>
      <c r="U4557" s="15" t="n">
        <v>51</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I-F-0002</t>
        </is>
      </c>
      <c r="B4558" s="12" t="inlineStr">
        <is>
          <t>I</t>
        </is>
      </c>
      <c r="C4558" s="12" t="inlineStr">
        <is>
          <t>Modular / portable power</t>
        </is>
      </c>
      <c r="D4558" s="12" t="inlineStr">
        <is>
          <t>CGE-SWG SCADA / dispatch fibre</t>
        </is>
      </c>
      <c r="E4558" s="12" t="inlineStr">
        <is>
          <t>SWG-PK</t>
        </is>
      </c>
      <c r="F4558" s="12" t="inlineStr">
        <is>
          <t>SWG-PK: 34.5 kV park collector switchgear (2 bus sections, tie; 8 feed</t>
        </is>
      </c>
      <c r="G4558" s="12" t="inlineStr">
        <is>
          <t>CGE-SWG</t>
        </is>
      </c>
      <c r="H4558" s="12" t="inlineStr">
        <is>
          <t>CGE-SWG: 13.8 kV switchgear container (engine breakers, site feeder)</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500</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I-F-0003</t>
        </is>
      </c>
      <c r="B4559" s="12" t="inlineStr">
        <is>
          <t>I</t>
        </is>
      </c>
      <c r="C4559" s="12" t="inlineStr">
        <is>
          <t>Modular / portable power</t>
        </is>
      </c>
      <c r="D4559" s="12" t="inlineStr">
        <is>
          <t>CHP-SWG SCADA / dispatch fibre</t>
        </is>
      </c>
      <c r="E4559" s="12" t="inlineStr">
        <is>
          <t>SWG-PK</t>
        </is>
      </c>
      <c r="F4559" s="12" t="inlineStr">
        <is>
          <t>SWG-PK: 34.5 kV park collector switchgear (2 bus sections, tie; 8 feed</t>
        </is>
      </c>
      <c r="G4559" s="12" t="inlineStr">
        <is>
          <t>CHP-SWG</t>
        </is>
      </c>
      <c r="H4559" s="12" t="inlineStr">
        <is>
          <t>CHP-SWG: 13.8 kV switchgear container (4 engine breakers, site feeder)</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324</v>
      </c>
      <c r="U4559" s="15" t="n">
        <v>32</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I-F-0004</t>
        </is>
      </c>
      <c r="B4560" s="12" t="inlineStr">
        <is>
          <t>I</t>
        </is>
      </c>
      <c r="C4560" s="12" t="inlineStr">
        <is>
          <t>Modular / portable power</t>
        </is>
      </c>
      <c r="D4560" s="12" t="inlineStr">
        <is>
          <t>L7 fibre ring, segment 1 (SWG-MY to GBT-1)</t>
        </is>
      </c>
      <c r="E4560" s="12" t="inlineStr">
        <is>
          <t>SWG-MY</t>
        </is>
      </c>
      <c r="F4560" s="12" t="inlineStr">
        <is>
          <t xml:space="preserve">SWG-MY: 35 kV switchgear lineup for the modular blocks (group breaker </t>
        </is>
      </c>
      <c r="G4560" s="12" t="inlineStr">
        <is>
          <t>GBT-1</t>
        </is>
      </c>
      <c r="H4560" s="12" t="inlineStr">
        <is>
          <t>GBT-1: block GB-1 step-up 480 V : 34.5 kV, ~3 MVA pad-mount (on the 35</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181</v>
      </c>
      <c r="U4560" s="15" t="n">
        <v>32</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I-F-0005</t>
        </is>
      </c>
      <c r="B4561" s="12" t="inlineStr">
        <is>
          <t>I</t>
        </is>
      </c>
      <c r="C4561" s="12" t="inlineStr">
        <is>
          <t>Modular / portable power</t>
        </is>
      </c>
      <c r="D4561" s="12" t="inlineStr">
        <is>
          <t>L7 fibre ring, segment 2 (GBT-1 to GBT-2)</t>
        </is>
      </c>
      <c r="E4561" s="12" t="inlineStr">
        <is>
          <t>GBT-1</t>
        </is>
      </c>
      <c r="F4561" s="12" t="inlineStr">
        <is>
          <t>GBT-1: block GB-1 step-up 480 V : 34.5 kV, ~3 MVA pad-mount (on the 35</t>
        </is>
      </c>
      <c r="G4561" s="12" t="inlineStr">
        <is>
          <t>GBT-2</t>
        </is>
      </c>
      <c r="H4561" s="12" t="inlineStr">
        <is>
          <t>GBT-2: block GB-2 step-up 480 V : 34.5 kV, ~3 MVA pad-mount (on the 35</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Surface</t>
        </is>
      </c>
      <c r="T4561" s="15" t="n">
        <v>78</v>
      </c>
      <c r="U4561" s="15" t="n">
        <v>37</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I-F-0006</t>
        </is>
      </c>
      <c r="B4562" s="12" t="inlineStr">
        <is>
          <t>I</t>
        </is>
      </c>
      <c r="C4562" s="12" t="inlineStr">
        <is>
          <t>Modular / portable power</t>
        </is>
      </c>
      <c r="D4562" s="12" t="inlineStr">
        <is>
          <t>L7 fibre ring, segment 3 (GBT-2 to GBT-3)</t>
        </is>
      </c>
      <c r="E4562" s="12" t="inlineStr">
        <is>
          <t>GBT-2</t>
        </is>
      </c>
      <c r="F4562" s="12" t="inlineStr">
        <is>
          <t>GBT-2: block GB-2 step-up 480 V : 34.5 kV, ~3 MVA pad-mount (on the 35</t>
        </is>
      </c>
      <c r="G4562" s="12" t="inlineStr">
        <is>
          <t>GBT-3</t>
        </is>
      </c>
      <c r="H4562" s="12" t="inlineStr">
        <is>
          <t>GBT-3: block GB-3 step-up 480 V : 34.5 kV, ~3 MVA pad-mount (on the 35</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Surface</t>
        </is>
      </c>
      <c r="T4562" s="15" t="n">
        <v>28</v>
      </c>
      <c r="U4562" s="15" t="n">
        <v>27</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I-F-0007</t>
        </is>
      </c>
      <c r="B4563" s="12" t="inlineStr">
        <is>
          <t>I</t>
        </is>
      </c>
      <c r="C4563" s="12" t="inlineStr">
        <is>
          <t>Modular / portable power</t>
        </is>
      </c>
      <c r="D4563" s="12" t="inlineStr">
        <is>
          <t>L7 fibre ring, segment 4 (GBT-3 to GBT-4)</t>
        </is>
      </c>
      <c r="E4563" s="12" t="inlineStr">
        <is>
          <t>GBT-3</t>
        </is>
      </c>
      <c r="F4563" s="12" t="inlineStr">
        <is>
          <t>GBT-3: block GB-3 step-up 480 V : 34.5 kV, ~3 MVA pad-mount (on the 35</t>
        </is>
      </c>
      <c r="G4563" s="12" t="inlineStr">
        <is>
          <t>GBT-4</t>
        </is>
      </c>
      <c r="H4563" s="12" t="inlineStr">
        <is>
          <t>GBT-4: block GB-4 step-up 480 V : 34.5 kV, ~3 MVA pad-mount (on the 35</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Surface</t>
        </is>
      </c>
      <c r="T4563" s="15" t="n">
        <v>79</v>
      </c>
      <c r="U4563" s="15" t="n">
        <v>37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I-F-0008</t>
        </is>
      </c>
      <c r="B4564" s="12" t="inlineStr">
        <is>
          <t>I</t>
        </is>
      </c>
      <c r="C4564" s="12" t="inlineStr">
        <is>
          <t>Modular / portable power</t>
        </is>
      </c>
      <c r="D4564" s="12" t="inlineStr">
        <is>
          <t>IG-1 unit control: plant network / DCS fibre</t>
        </is>
      </c>
      <c r="E4564" s="12" t="inlineStr">
        <is>
          <t>CR</t>
        </is>
      </c>
      <c r="F4564" s="12" t="inlineStr">
        <is>
          <t>Control / admin building (main control room)</t>
        </is>
      </c>
      <c r="G4564" s="12" t="inlineStr">
        <is>
          <t>IG-1</t>
        </is>
      </c>
      <c r="H4564" s="12" t="inlineStr">
        <is>
          <t>IG-1: industrial gas-turbine installation, ~50 MW class (~50 MW)</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3638</v>
      </c>
      <c r="U4564" s="15" t="n">
        <v>51</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I-F-0009</t>
        </is>
      </c>
      <c r="B4565" s="12" t="inlineStr">
        <is>
          <t>I</t>
        </is>
      </c>
      <c r="C4565" s="12" t="inlineStr">
        <is>
          <t>Modular / portable power</t>
        </is>
      </c>
      <c r="D4565" s="12" t="inlineStr">
        <is>
          <t>Plant network / DCS fibre</t>
        </is>
      </c>
      <c r="E4565" s="12" t="inlineStr">
        <is>
          <t>CR</t>
        </is>
      </c>
      <c r="F4565" s="12" t="inlineStr">
        <is>
          <t>Control / admin building (main control room)</t>
        </is>
      </c>
      <c r="G4565" s="12" t="inlineStr"/>
      <c r="H4565" s="12" t="inlineStr">
        <is>
          <t>Lube oil / starting air / oily water building</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2703</v>
      </c>
      <c r="U4565" s="15" t="n">
        <v>394</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I-F-0010</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MOD-EH</t>
        </is>
      </c>
      <c r="H4566" s="12" t="inlineStr">
        <is>
          <t>MOD-EH: 34.5 kV modular collector e-house (2 bus sections + 13.8 kV st</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3885</v>
      </c>
      <c r="U4566" s="15" t="n">
        <v>43</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I-F-0011</t>
        </is>
      </c>
      <c r="B4567" s="12" t="inlineStr">
        <is>
          <t>I</t>
        </is>
      </c>
      <c r="C4567" s="12" t="inlineStr">
        <is>
          <t>Modular / portable power</t>
        </is>
      </c>
      <c r="D4567" s="12" t="inlineStr">
        <is>
          <t>MTG-SWG SCADA / dispatch fibre</t>
        </is>
      </c>
      <c r="E4567" s="12" t="inlineStr">
        <is>
          <t>SWG-PK</t>
        </is>
      </c>
      <c r="F4567" s="12" t="inlineStr">
        <is>
          <t>SWG-PK: 34.5 kV park collector switchgear (2 bus sections, tie; 8 feed</t>
        </is>
      </c>
      <c r="G4567" s="12" t="inlineStr">
        <is>
          <t>MTG-SWG</t>
        </is>
      </c>
      <c r="H4567" s="12" t="inlineStr">
        <is>
          <t>MTG-SWG: 13.8 kV switchgear e-house (2 generator breakers, site feeder</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177</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I-F-0012</t>
        </is>
      </c>
      <c r="B4568" s="12" t="inlineStr">
        <is>
          <t>I</t>
        </is>
      </c>
      <c r="C4568" s="12" t="inlineStr">
        <is>
          <t>Modular / portable power</t>
        </is>
      </c>
      <c r="D4568" s="12" t="inlineStr">
        <is>
          <t>Plant network / DCS fibre</t>
        </is>
      </c>
      <c r="E4568" s="12" t="inlineStr">
        <is>
          <t>CR</t>
        </is>
      </c>
      <c r="F4568" s="12" t="inlineStr">
        <is>
          <t>Control / admin building (main control room)</t>
        </is>
      </c>
      <c r="G4568" s="12" t="inlineStr"/>
      <c r="H4568" s="12" t="inlineStr">
        <is>
          <t>PCM: power control module</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Duct bank</t>
        </is>
      </c>
      <c r="T4568" s="15" t="n">
        <v>4070</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I-F-0013</t>
        </is>
      </c>
      <c r="B4569" s="12" t="inlineStr">
        <is>
          <t>I</t>
        </is>
      </c>
      <c r="C4569" s="12" t="inlineStr">
        <is>
          <t>Modular / portable power</t>
        </is>
      </c>
      <c r="D4569" s="12" t="inlineStr">
        <is>
          <t>PGS-SWG SCADA / dispatch fibre</t>
        </is>
      </c>
      <c r="E4569" s="12" t="inlineStr">
        <is>
          <t>SWG-PK</t>
        </is>
      </c>
      <c r="F4569" s="12" t="inlineStr">
        <is>
          <t>SWG-PK: 34.5 kV park collector switchgear (2 bus sections, tie; 8 feed</t>
        </is>
      </c>
      <c r="G4569" s="12" t="inlineStr">
        <is>
          <t>PGS-SWG</t>
        </is>
      </c>
      <c r="H4569" s="12" t="inlineStr">
        <is>
          <t>PGS-SWG: 480 V paralleling switchgear (8 generator breakers, 2 transfo</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370</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I-F-0014</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c r="H4570" s="12" t="inlineStr">
        <is>
          <t>RICE CEMS</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Duct bank</t>
        </is>
      </c>
      <c r="T4570" s="15" t="n">
        <v>4114</v>
      </c>
      <c r="U4570" s="15" t="n">
        <v>43</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I-F-0015</t>
        </is>
      </c>
      <c r="B4571" s="12" t="inlineStr">
        <is>
          <t>I</t>
        </is>
      </c>
      <c r="C4571" s="12" t="inlineStr">
        <is>
          <t>Modular / portable power</t>
        </is>
      </c>
      <c r="D4571" s="12" t="inlineStr">
        <is>
          <t>Plant network / DCS fibre</t>
        </is>
      </c>
      <c r="E4571" s="12" t="inlineStr">
        <is>
          <t>CR</t>
        </is>
      </c>
      <c r="F4571" s="12" t="inlineStr">
        <is>
          <t>Control / admin building (main control room)</t>
        </is>
      </c>
      <c r="G4571" s="12" t="inlineStr">
        <is>
          <t>RICE</t>
        </is>
      </c>
      <c r="H4571" s="12" t="inlineStr">
        <is>
          <t>RICE engine hall (8 engines)</t>
        </is>
      </c>
      <c r="I4571" s="12" t="inlineStr">
        <is>
          <t>Fibre / data</t>
        </is>
      </c>
      <c r="J4571" s="12" t="inlineStr">
        <is>
          <t>Fibre optic, single-mode, 12-fibre, armored, orange jacket</t>
        </is>
      </c>
      <c r="K4571" s="12" t="inlineStr">
        <is>
          <t>FO|12 SM|-</t>
        </is>
      </c>
      <c r="L4571" s="12" t="inlineStr">
        <is>
          <t>12 SM</t>
        </is>
      </c>
      <c r="M4571" s="12" t="inlineStr">
        <is>
          <t>-</t>
        </is>
      </c>
      <c r="N4571" s="12" t="n">
        <v>1</v>
      </c>
      <c r="O4571" s="12" t="n">
        <v>1</v>
      </c>
      <c r="P4571" s="12" t="n"/>
      <c r="Q4571" s="12" t="n"/>
      <c r="R4571" s="12" t="n"/>
      <c r="S4571" s="12" t="inlineStr">
        <is>
          <t>Duct bank</t>
        </is>
      </c>
      <c r="T4571" s="15" t="n">
        <v>4013</v>
      </c>
      <c r="U4571" s="15" t="n">
        <v>94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I-F-0016</t>
        </is>
      </c>
      <c r="B4572" s="12" t="inlineStr">
        <is>
          <t>I</t>
        </is>
      </c>
      <c r="C4572" s="12" t="inlineStr">
        <is>
          <t>Modular / portable power</t>
        </is>
      </c>
      <c r="D4572" s="12" t="inlineStr">
        <is>
          <t>SC-1 CEMS data to the unit control (Modbus TCP)</t>
        </is>
      </c>
      <c r="E4572" s="12" t="inlineStr"/>
      <c r="F4572" s="12" t="inlineStr">
        <is>
          <t>SC-1 PCM + 15 kV GCB</t>
        </is>
      </c>
      <c r="G4572" s="12" t="inlineStr"/>
      <c r="H4572" s="12" t="inlineStr">
        <is>
          <t>SC-1 CEMS shelter</t>
        </is>
      </c>
      <c r="I4572" s="12" t="inlineStr">
        <is>
          <t>Fibre / data</t>
        </is>
      </c>
      <c r="J4572" s="12" t="inlineStr">
        <is>
          <t>Fibre optic, single-mode, 12-fibre, armored, orange jacket</t>
        </is>
      </c>
      <c r="K4572" s="12" t="inlineStr">
        <is>
          <t>FO|12 SM|-</t>
        </is>
      </c>
      <c r="L4572" s="12" t="inlineStr">
        <is>
          <t>12 SM</t>
        </is>
      </c>
      <c r="M4572" s="12" t="inlineStr">
        <is>
          <t>-</t>
        </is>
      </c>
      <c r="N4572" s="12" t="n">
        <v>1</v>
      </c>
      <c r="O4572" s="12" t="n">
        <v>1</v>
      </c>
      <c r="P4572" s="12" t="n"/>
      <c r="Q4572" s="12" t="n"/>
      <c r="R4572" s="12" t="n"/>
      <c r="S4572" s="12" t="inlineStr">
        <is>
          <t>Duct bank</t>
        </is>
      </c>
      <c r="T4572" s="15" t="n">
        <v>81</v>
      </c>
      <c r="U4572" s="15" t="n">
        <v>106</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I-F-0017</t>
        </is>
      </c>
      <c r="B4573" s="12" t="inlineStr">
        <is>
          <t>I</t>
        </is>
      </c>
      <c r="C4573" s="12" t="inlineStr">
        <is>
          <t>Modular / portable power</t>
        </is>
      </c>
      <c r="D4573" s="12" t="inlineStr">
        <is>
          <t>SC-1 unit control panel: plant network / DCS fibre</t>
        </is>
      </c>
      <c r="E4573" s="12" t="inlineStr">
        <is>
          <t>CR</t>
        </is>
      </c>
      <c r="F4573" s="12" t="inlineStr">
        <is>
          <t>Control / admin building (main control room)</t>
        </is>
      </c>
      <c r="G4573" s="12" t="inlineStr"/>
      <c r="H4573" s="12" t="inlineStr">
        <is>
          <t>SC-1 PCM + 15 kV GCB</t>
        </is>
      </c>
      <c r="I4573" s="12" t="inlineStr">
        <is>
          <t>Fibre / data</t>
        </is>
      </c>
      <c r="J4573" s="12" t="inlineStr">
        <is>
          <t>Fibre optic, single-mode, 12-fibre, armored, orange jacket</t>
        </is>
      </c>
      <c r="K4573" s="12" t="inlineStr">
        <is>
          <t>FO|12 SM|-</t>
        </is>
      </c>
      <c r="L4573" s="12" t="inlineStr">
        <is>
          <t>12 SM</t>
        </is>
      </c>
      <c r="M4573" s="12" t="inlineStr">
        <is>
          <t>-</t>
        </is>
      </c>
      <c r="N4573" s="12" t="n">
        <v>1</v>
      </c>
      <c r="O4573" s="12" t="n">
        <v>1</v>
      </c>
      <c r="P4573" s="12" t="n"/>
      <c r="Q4573" s="12" t="n"/>
      <c r="R4573" s="12" t="n"/>
      <c r="S4573" s="12" t="inlineStr">
        <is>
          <t>Duct bank</t>
        </is>
      </c>
      <c r="T4573" s="15" t="n">
        <v>4097</v>
      </c>
      <c r="U4573" s="15" t="n">
        <v>48</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I-F-0018</t>
        </is>
      </c>
      <c r="B4574" s="12" t="inlineStr">
        <is>
          <t>I</t>
        </is>
      </c>
      <c r="C4574" s="12" t="inlineStr">
        <is>
          <t>Modular / portable power</t>
        </is>
      </c>
      <c r="D4574" s="12" t="inlineStr">
        <is>
          <t>Plant network / DCS fibre</t>
        </is>
      </c>
      <c r="E4574" s="12" t="inlineStr">
        <is>
          <t>CR</t>
        </is>
      </c>
      <c r="F4574" s="12" t="inlineStr">
        <is>
          <t>Control / admin building (main control room)</t>
        </is>
      </c>
      <c r="G4574" s="12" t="inlineStr">
        <is>
          <t>SC-1</t>
        </is>
      </c>
      <c r="H4574" s="12" t="inlineStr">
        <is>
          <t>SC-1: aeroderivative simple-cycle unit (50 MW class)</t>
        </is>
      </c>
      <c r="I4574" s="12" t="inlineStr">
        <is>
          <t>Fibre / data</t>
        </is>
      </c>
      <c r="J4574" s="12" t="inlineStr">
        <is>
          <t>Fibre optic, single-mode, 12-fibre, armored, orange jacket</t>
        </is>
      </c>
      <c r="K4574" s="12" t="inlineStr">
        <is>
          <t>FO|12 SM|-</t>
        </is>
      </c>
      <c r="L4574" s="12" t="inlineStr">
        <is>
          <t>12 SM</t>
        </is>
      </c>
      <c r="M4574" s="12" t="inlineStr">
        <is>
          <t>-</t>
        </is>
      </c>
      <c r="N4574" s="12" t="n">
        <v>1</v>
      </c>
      <c r="O4574" s="12" t="n">
        <v>1</v>
      </c>
      <c r="P4574" s="12" t="n"/>
      <c r="Q4574" s="12" t="n"/>
      <c r="R4574" s="12" t="n"/>
      <c r="S4574" s="12" t="inlineStr">
        <is>
          <t>Duct bank</t>
        </is>
      </c>
      <c r="T4574" s="15" t="n">
        <v>4047</v>
      </c>
      <c r="U4574" s="15" t="n">
        <v>67</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I-F-0019</t>
        </is>
      </c>
      <c r="B4575" s="12" t="inlineStr">
        <is>
          <t>I</t>
        </is>
      </c>
      <c r="C4575" s="12" t="inlineStr">
        <is>
          <t>Modular / portable power</t>
        </is>
      </c>
      <c r="D4575" s="12" t="inlineStr">
        <is>
          <t>SC-2 CEMS data to the unit control (Modbus TCP)</t>
        </is>
      </c>
      <c r="E4575" s="12" t="inlineStr"/>
      <c r="F4575" s="12" t="inlineStr">
        <is>
          <t>SC-2 PCM + 15 kV GCB</t>
        </is>
      </c>
      <c r="G4575" s="12" t="inlineStr"/>
      <c r="H4575" s="12" t="inlineStr">
        <is>
          <t>SC-2 CEMS shelter</t>
        </is>
      </c>
      <c r="I4575" s="12" t="inlineStr">
        <is>
          <t>Fibre / data</t>
        </is>
      </c>
      <c r="J4575" s="12" t="inlineStr">
        <is>
          <t>Fibre optic, single-mode, 12-fibre, armored, orange jacket</t>
        </is>
      </c>
      <c r="K4575" s="12" t="inlineStr">
        <is>
          <t>FO|12 SM|-</t>
        </is>
      </c>
      <c r="L4575" s="12" t="inlineStr">
        <is>
          <t>12 SM</t>
        </is>
      </c>
      <c r="M4575" s="12" t="inlineStr">
        <is>
          <t>-</t>
        </is>
      </c>
      <c r="N4575" s="12" t="n">
        <v>1</v>
      </c>
      <c r="O4575" s="12" t="n">
        <v>1</v>
      </c>
      <c r="P4575" s="12" t="n"/>
      <c r="Q4575" s="12" t="n"/>
      <c r="R4575" s="12" t="n"/>
      <c r="S4575" s="12" t="inlineStr">
        <is>
          <t>Duct bank</t>
        </is>
      </c>
      <c r="T4575" s="15" t="n">
        <v>74</v>
      </c>
      <c r="U4575" s="15" t="n">
        <v>112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I-F-0020</t>
        </is>
      </c>
      <c r="B4576" s="12" t="inlineStr">
        <is>
          <t>I</t>
        </is>
      </c>
      <c r="C4576" s="12" t="inlineStr">
        <is>
          <t>Modular / portable power</t>
        </is>
      </c>
      <c r="D4576" s="12" t="inlineStr">
        <is>
          <t>SC-2 unit control panel: plant network / DCS fibre</t>
        </is>
      </c>
      <c r="E4576" s="12" t="inlineStr">
        <is>
          <t>CR</t>
        </is>
      </c>
      <c r="F4576" s="12" t="inlineStr">
        <is>
          <t>Control / admin building (main control room)</t>
        </is>
      </c>
      <c r="G4576" s="12" t="inlineStr"/>
      <c r="H4576" s="12" t="inlineStr">
        <is>
          <t>SC-2 PCM + 15 kV GCB</t>
        </is>
      </c>
      <c r="I4576" s="12" t="inlineStr">
        <is>
          <t>Fibre / data</t>
        </is>
      </c>
      <c r="J4576" s="12" t="inlineStr">
        <is>
          <t>Fibre optic, single-mode, 12-fibre, armored, orange jacket</t>
        </is>
      </c>
      <c r="K4576" s="12" t="inlineStr">
        <is>
          <t>FO|12 SM|-</t>
        </is>
      </c>
      <c r="L4576" s="12" t="inlineStr">
        <is>
          <t>12 SM</t>
        </is>
      </c>
      <c r="M4576" s="12" t="inlineStr">
        <is>
          <t>-</t>
        </is>
      </c>
      <c r="N4576" s="12" t="n">
        <v>1</v>
      </c>
      <c r="O4576" s="12" t="n">
        <v>1</v>
      </c>
      <c r="P4576" s="12" t="n"/>
      <c r="Q4576" s="12" t="n"/>
      <c r="R4576" s="12" t="n"/>
      <c r="S4576" s="12" t="inlineStr">
        <is>
          <t>Duct bank</t>
        </is>
      </c>
      <c r="T4576" s="15" t="n">
        <v>4178</v>
      </c>
      <c r="U4576" s="15" t="n">
        <v>43</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I-F-0021</t>
        </is>
      </c>
      <c r="B4577" s="12" t="inlineStr">
        <is>
          <t>I</t>
        </is>
      </c>
      <c r="C4577" s="12" t="inlineStr">
        <is>
          <t>Modular / portable power</t>
        </is>
      </c>
      <c r="D4577" s="12" t="inlineStr">
        <is>
          <t>Plant network / DCS fibre</t>
        </is>
      </c>
      <c r="E4577" s="12" t="inlineStr">
        <is>
          <t>CR</t>
        </is>
      </c>
      <c r="F4577" s="12" t="inlineStr">
        <is>
          <t>Control / admin building (main control room)</t>
        </is>
      </c>
      <c r="G4577" s="12" t="inlineStr">
        <is>
          <t>SC-2</t>
        </is>
      </c>
      <c r="H4577" s="12" t="inlineStr">
        <is>
          <t>SC-2: aeroderivative simple-cycle unit (50 MW class)</t>
        </is>
      </c>
      <c r="I4577" s="12" t="inlineStr">
        <is>
          <t>Fibre / data</t>
        </is>
      </c>
      <c r="J4577" s="12" t="inlineStr">
        <is>
          <t>Fibre optic, single-mode, 12-fibre, armored, orange jacket</t>
        </is>
      </c>
      <c r="K4577" s="12" t="inlineStr">
        <is>
          <t>FO|12 SM|-</t>
        </is>
      </c>
      <c r="L4577" s="12" t="inlineStr">
        <is>
          <t>12 SM</t>
        </is>
      </c>
      <c r="M4577" s="12" t="inlineStr">
        <is>
          <t>-</t>
        </is>
      </c>
      <c r="N4577" s="12" t="n">
        <v>1</v>
      </c>
      <c r="O4577" s="12" t="n">
        <v>1</v>
      </c>
      <c r="P4577" s="12" t="n"/>
      <c r="Q4577" s="12" t="n"/>
      <c r="R4577" s="12" t="n"/>
      <c r="S4577" s="12" t="inlineStr">
        <is>
          <t>Duct bank</t>
        </is>
      </c>
      <c r="T4577" s="15" t="n">
        <v>4130</v>
      </c>
      <c r="U4577" s="15" t="n">
        <v>67</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I-F-0022</t>
        </is>
      </c>
      <c r="B4578" s="12" t="inlineStr">
        <is>
          <t>I</t>
        </is>
      </c>
      <c r="C4578" s="12" t="inlineStr">
        <is>
          <t>Modular / portable power</t>
        </is>
      </c>
      <c r="D4578" s="12" t="inlineStr">
        <is>
          <t>L7 fibre ring, segment 5 (GBT-4 to SWG-MY)</t>
        </is>
      </c>
      <c r="E4578" s="12" t="inlineStr">
        <is>
          <t>GBT-4</t>
        </is>
      </c>
      <c r="F4578" s="12" t="inlineStr">
        <is>
          <t>GBT-4: block GB-4 step-up 480 V : 34.5 kV, ~3 MVA pad-mount (on the 35</t>
        </is>
      </c>
      <c r="G4578" s="12" t="inlineStr">
        <is>
          <t>SWG-MY</t>
        </is>
      </c>
      <c r="H4578" s="12" t="inlineStr">
        <is>
          <t xml:space="preserve">SWG-MY: 35 kV switchgear lineup for the modular blocks (group breaker </t>
        </is>
      </c>
      <c r="I4578" s="12" t="inlineStr">
        <is>
          <t>Fibre / data</t>
        </is>
      </c>
      <c r="J4578" s="12" t="inlineStr">
        <is>
          <t>Fibre optic, single-mode, 12-fibre, armored, orange jacket</t>
        </is>
      </c>
      <c r="K4578" s="12" t="inlineStr">
        <is>
          <t>FO|12 SM|-</t>
        </is>
      </c>
      <c r="L4578" s="12" t="inlineStr">
        <is>
          <t>12 SM</t>
        </is>
      </c>
      <c r="M4578" s="12" t="inlineStr">
        <is>
          <t>-</t>
        </is>
      </c>
      <c r="N4578" s="12" t="n">
        <v>1</v>
      </c>
      <c r="O4578" s="12" t="n">
        <v>1</v>
      </c>
      <c r="P4578" s="12" t="n"/>
      <c r="Q4578" s="12" t="n"/>
      <c r="R4578" s="12" t="n"/>
      <c r="S4578" s="12" t="inlineStr">
        <is>
          <t>Duct bank</t>
        </is>
      </c>
      <c r="T4578" s="15" t="n">
        <v>181</v>
      </c>
      <c r="U4578" s="15" t="n">
        <v>32</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I-F-0023</t>
        </is>
      </c>
      <c r="B4579" s="12" t="inlineStr">
        <is>
          <t>I</t>
        </is>
      </c>
      <c r="C4579" s="12" t="inlineStr">
        <is>
          <t>Modular / portable power</t>
        </is>
      </c>
      <c r="D4579" s="12" t="inlineStr">
        <is>
          <t>SWG-PK SCADA / protection: plant network fibre</t>
        </is>
      </c>
      <c r="E4579" s="12" t="inlineStr">
        <is>
          <t>CR</t>
        </is>
      </c>
      <c r="F4579" s="12" t="inlineStr">
        <is>
          <t>Control / admin building (main control room)</t>
        </is>
      </c>
      <c r="G4579" s="12" t="inlineStr">
        <is>
          <t>SWG-PK</t>
        </is>
      </c>
      <c r="H4579" s="12" t="inlineStr">
        <is>
          <t>SWG-PK: 34.5 kV park collector switchgear (2 bus sections, tie; 8 feed</t>
        </is>
      </c>
      <c r="I4579" s="12" t="inlineStr">
        <is>
          <t>Fibre / data</t>
        </is>
      </c>
      <c r="J4579" s="12" t="inlineStr">
        <is>
          <t>Fibre optic, single-mode, 12-fibre, armored, orange jacket</t>
        </is>
      </c>
      <c r="K4579" s="12" t="inlineStr">
        <is>
          <t>FO|12 SM|-</t>
        </is>
      </c>
      <c r="L4579" s="12" t="inlineStr">
        <is>
          <t>12 SM</t>
        </is>
      </c>
      <c r="M4579" s="12" t="inlineStr">
        <is>
          <t>-</t>
        </is>
      </c>
      <c r="N4579" s="12" t="n">
        <v>1</v>
      </c>
      <c r="O4579" s="12" t="n">
        <v>1</v>
      </c>
      <c r="P4579" s="12" t="n"/>
      <c r="Q4579" s="12" t="n"/>
      <c r="R4579" s="12" t="n"/>
      <c r="S4579" s="12" t="inlineStr">
        <is>
          <t>Trench</t>
        </is>
      </c>
      <c r="T4579" s="15" t="n">
        <v>3444</v>
      </c>
      <c r="U4579" s="15" t="n">
        <v>43</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I-F-0024</t>
        </is>
      </c>
      <c r="B4580" s="12" t="inlineStr">
        <is>
          <t>I</t>
        </is>
      </c>
      <c r="C4580" s="12" t="inlineStr">
        <is>
          <t>Modular / portable power</t>
        </is>
      </c>
      <c r="D4580" s="12" t="inlineStr">
        <is>
          <t>TGF-SWG SCADA / dispatch fibre</t>
        </is>
      </c>
      <c r="E4580" s="12" t="inlineStr">
        <is>
          <t>SWG-PK</t>
        </is>
      </c>
      <c r="F4580" s="12" t="inlineStr">
        <is>
          <t>SWG-PK: 34.5 kV park collector switchgear (2 bus sections, tie; 8 feed</t>
        </is>
      </c>
      <c r="G4580" s="12" t="inlineStr">
        <is>
          <t>TGF-SWG</t>
        </is>
      </c>
      <c r="H4580" s="12" t="inlineStr">
        <is>
          <t>TGF-SWG: mobile 13.8 kV switchgear trailer (fleet collector)</t>
        </is>
      </c>
      <c r="I4580" s="12" t="inlineStr">
        <is>
          <t>Fibre / data</t>
        </is>
      </c>
      <c r="J4580" s="12" t="inlineStr">
        <is>
          <t>Fibre optic, single-mode, 12-fibre, armored, orange jacket</t>
        </is>
      </c>
      <c r="K4580" s="12" t="inlineStr">
        <is>
          <t>FO|12 SM|-</t>
        </is>
      </c>
      <c r="L4580" s="12" t="inlineStr">
        <is>
          <t>12 SM</t>
        </is>
      </c>
      <c r="M4580" s="12" t="inlineStr">
        <is>
          <t>-</t>
        </is>
      </c>
      <c r="N4580" s="12" t="n">
        <v>1</v>
      </c>
      <c r="O4580" s="12" t="n">
        <v>1</v>
      </c>
      <c r="P4580" s="12" t="n"/>
      <c r="Q4580" s="12" t="n"/>
      <c r="R4580" s="12" t="n"/>
      <c r="S4580" s="12" t="inlineStr">
        <is>
          <t>Duct bank</t>
        </is>
      </c>
      <c r="T4580" s="15" t="n">
        <v>421</v>
      </c>
      <c r="U4580" s="15" t="n">
        <v>32</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I-F-0025</t>
        </is>
      </c>
      <c r="B4581" s="12" t="inlineStr">
        <is>
          <t>I</t>
        </is>
      </c>
      <c r="C4581" s="12" t="inlineStr">
        <is>
          <t>Modular / portable power</t>
        </is>
      </c>
      <c r="D4581" s="12" t="inlineStr">
        <is>
          <t>Plant network / DCS fibre</t>
        </is>
      </c>
      <c r="E4581" s="12" t="inlineStr">
        <is>
          <t>CR</t>
        </is>
      </c>
      <c r="F4581" s="12" t="inlineStr">
        <is>
          <t>Control / admin building (main control room)</t>
        </is>
      </c>
      <c r="G4581" s="12" t="inlineStr">
        <is>
          <t>TM-1</t>
        </is>
      </c>
      <c r="H4581" s="12" t="inlineStr">
        <is>
          <t>TM-1: trailer-mounted aeroderivative GT (~35 MW)</t>
        </is>
      </c>
      <c r="I4581" s="12" t="inlineStr">
        <is>
          <t>Fibre / data</t>
        </is>
      </c>
      <c r="J4581" s="12" t="inlineStr">
        <is>
          <t>Fibre optic, single-mode, 12-fibre, armored, orange jacket</t>
        </is>
      </c>
      <c r="K4581" s="12" t="inlineStr">
        <is>
          <t>FO|12 SM|-</t>
        </is>
      </c>
      <c r="L4581" s="12" t="inlineStr">
        <is>
          <t>12 SM</t>
        </is>
      </c>
      <c r="M4581" s="12" t="inlineStr">
        <is>
          <t>-</t>
        </is>
      </c>
      <c r="N4581" s="12" t="n">
        <v>1</v>
      </c>
      <c r="O4581" s="12" t="n">
        <v>1</v>
      </c>
      <c r="P4581" s="12" t="n"/>
      <c r="Q4581" s="12" t="n"/>
      <c r="R4581" s="12" t="n"/>
      <c r="S4581" s="12" t="inlineStr">
        <is>
          <t>Trench</t>
        </is>
      </c>
      <c r="T4581" s="15" t="n">
        <v>3404</v>
      </c>
      <c r="U4581" s="15" t="n">
        <v>50</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I-FA-0001</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BS black-start switchgear</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528</v>
      </c>
      <c r="U4582" s="15" t="n">
        <v>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I-FA-0002</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Black-start genset (proposed; requires study)</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590</v>
      </c>
      <c r="U4583" s="15" t="n">
        <v>32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I-FA-0003</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c r="H4584" s="12" t="inlineStr">
        <is>
          <t>Black-start genset (proposed; requires study)</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590</v>
      </c>
      <c r="U4584" s="15" t="n">
        <v>40</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I-FA-0004</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c r="H4585" s="12" t="inlineStr">
        <is>
          <t>CONDITIONAL: BESS black-start alternative</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516</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I-FA-0005</t>
        </is>
      </c>
      <c r="B4586" s="12" t="inlineStr">
        <is>
          <t>I</t>
        </is>
      </c>
      <c r="C4586" s="12" t="inlineStr">
        <is>
          <t>Modular / portable power</t>
        </is>
      </c>
      <c r="D4586" s="12" t="inlineStr">
        <is>
          <t>Fire alarm / F&amp;G loop (to the local FACP / F&amp;G node)</t>
        </is>
      </c>
      <c r="E4586" s="12" t="inlineStr"/>
      <c r="F4586" s="12" t="inlineStr">
        <is>
          <t>SC-1 PCM + 15 kV GCB</t>
        </is>
      </c>
      <c r="G4586" s="12" t="inlineStr"/>
      <c r="H4586" s="12" t="inlineStr">
        <is>
          <t>CONDITIONAL: SC-1 inlet chiller / evaporative cooler</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270</v>
      </c>
      <c r="U4586" s="15" t="n">
        <v>78</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I-FA-0006</t>
        </is>
      </c>
      <c r="B4587" s="12" t="inlineStr">
        <is>
          <t>I</t>
        </is>
      </c>
      <c r="C4587" s="12" t="inlineStr">
        <is>
          <t>Modular / portable power</t>
        </is>
      </c>
      <c r="D4587" s="12" t="inlineStr">
        <is>
          <t>Fire alarm / F&amp;G loop (to the local FACP / F&amp;G node)</t>
        </is>
      </c>
      <c r="E4587" s="12" t="inlineStr"/>
      <c r="F4587" s="12" t="inlineStr">
        <is>
          <t>SC-2 PCM + 15 kV GCB</t>
        </is>
      </c>
      <c r="G4587" s="12" t="inlineStr"/>
      <c r="H4587" s="12" t="inlineStr">
        <is>
          <t>CONDITIONAL: SC-2 inlet chiller / evaporative cooler</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10</v>
      </c>
      <c r="U4587" s="15" t="n">
        <v>106</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I-FA-0007</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c r="H4588" s="12" t="inlineStr">
        <is>
          <t>FC-5..8 inverter / AC cabinet / desulfurizer</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5" t="n">
        <v>198</v>
      </c>
      <c r="U4588" s="15" t="n">
        <v>32</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I-FA-0008</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FC-5</t>
        </is>
      </c>
      <c r="H4589" s="12" t="inlineStr">
        <is>
          <t>FC-5: SOFC module (200-300 kW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5" t="n">
        <v>251</v>
      </c>
      <c r="U4589" s="15" t="n">
        <v>44</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I-FA-0009</t>
        </is>
      </c>
      <c r="B4590" s="12" t="inlineStr">
        <is>
          <t>I</t>
        </is>
      </c>
      <c r="C4590" s="12" t="inlineStr">
        <is>
          <t>Modular / portable power</t>
        </is>
      </c>
      <c r="D4590" s="12" t="inlineStr">
        <is>
          <t>Fire alarm / F&amp;G loop (to the local FACP / F&amp;G node)</t>
        </is>
      </c>
      <c r="E4590" s="12" t="inlineStr">
        <is>
          <t>PAD-EH</t>
        </is>
      </c>
      <c r="F4590" s="12" t="inlineStr">
        <is>
          <t>PAD-EH 13.8 kV switchgear e-house</t>
        </is>
      </c>
      <c r="G4590" s="12" t="inlineStr">
        <is>
          <t>FC-6</t>
        </is>
      </c>
      <c r="H4590" s="12" t="inlineStr">
        <is>
          <t>FC-6: SOFC module (200-300 kW class)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Surface</t>
        </is>
      </c>
      <c r="T4590" s="15" t="n">
        <v>251</v>
      </c>
      <c r="U4590" s="15" t="n">
        <v>37</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I-FA-0010</t>
        </is>
      </c>
      <c r="B4591" s="12" t="inlineStr">
        <is>
          <t>I</t>
        </is>
      </c>
      <c r="C4591" s="12" t="inlineStr">
        <is>
          <t>Modular / portable power</t>
        </is>
      </c>
      <c r="D4591" s="12" t="inlineStr">
        <is>
          <t>Fire alarm / F&amp;G loop (to the local FACP / F&amp;G node)</t>
        </is>
      </c>
      <c r="E4591" s="12" t="inlineStr">
        <is>
          <t>PAD-EH</t>
        </is>
      </c>
      <c r="F4591" s="12" t="inlineStr">
        <is>
          <t>PAD-EH 13.8 kV switchgear e-house</t>
        </is>
      </c>
      <c r="G4591" s="12" t="inlineStr">
        <is>
          <t>FC-7</t>
        </is>
      </c>
      <c r="H4591" s="12" t="inlineStr">
        <is>
          <t>FC-7: SOFC module (200-300 kW class)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Surface</t>
        </is>
      </c>
      <c r="T4591" s="15" t="n">
        <v>239</v>
      </c>
      <c r="U4591" s="15" t="n">
        <v>37</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I-FA-0011</t>
        </is>
      </c>
      <c r="B4592" s="12" t="inlineStr">
        <is>
          <t>I</t>
        </is>
      </c>
      <c r="C4592" s="12" t="inlineStr">
        <is>
          <t>Modular / portable power</t>
        </is>
      </c>
      <c r="D4592" s="12" t="inlineStr">
        <is>
          <t>Fire alarm / F&amp;G loop (to the local FACP / F&amp;G node)</t>
        </is>
      </c>
      <c r="E4592" s="12" t="inlineStr">
        <is>
          <t>PAD-EH</t>
        </is>
      </c>
      <c r="F4592" s="12" t="inlineStr">
        <is>
          <t>PAD-EH 13.8 kV switchgear e-house</t>
        </is>
      </c>
      <c r="G4592" s="12" t="inlineStr">
        <is>
          <t>FC-8</t>
        </is>
      </c>
      <c r="H4592" s="12" t="inlineStr">
        <is>
          <t>FC-8: SOFC module (200-300 kW class)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Surface</t>
        </is>
      </c>
      <c r="T4592" s="15" t="n">
        <v>210</v>
      </c>
      <c r="U4592" s="15" t="n">
        <v>39</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I-FA-0012</t>
        </is>
      </c>
      <c r="B4593" s="12" t="inlineStr">
        <is>
          <t>I</t>
        </is>
      </c>
      <c r="C4593" s="12" t="inlineStr">
        <is>
          <t>Modular / portable power</t>
        </is>
      </c>
      <c r="D4593" s="12" t="inlineStr">
        <is>
          <t>Fire alarm / F&amp;G loop (to the local FACP / F&amp;G node)</t>
        </is>
      </c>
      <c r="E4593" s="12" t="inlineStr"/>
      <c r="F4593" s="12" t="inlineStr">
        <is>
          <t>PCM: power control module</t>
        </is>
      </c>
      <c r="G4593" s="12" t="inlineStr"/>
      <c r="H4593" s="12" t="inlineStr">
        <is>
          <t>Lube oil / starting air / oily water building</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344</v>
      </c>
      <c r="U4593" s="15" t="n">
        <v>164</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I-FA-0013</t>
        </is>
      </c>
      <c r="B4594" s="12" t="inlineStr">
        <is>
          <t>I</t>
        </is>
      </c>
      <c r="C4594" s="12" t="inlineStr">
        <is>
          <t>Modular / portable power</t>
        </is>
      </c>
      <c r="D4594" s="12" t="inlineStr">
        <is>
          <t>Fire alarm / F&amp;G loop (to the local FACP / F&amp;G node)</t>
        </is>
      </c>
      <c r="E4594" s="12" t="inlineStr">
        <is>
          <t>PAD-EH</t>
        </is>
      </c>
      <c r="F4594" s="12" t="inlineStr">
        <is>
          <t>PAD-EH 13.8 kV switchgear e-house</t>
        </is>
      </c>
      <c r="G4594" s="12" t="inlineStr"/>
      <c r="H4594" s="12" t="inlineStr">
        <is>
          <t>MOB-1 gas regulator / meter skid (flexible hose to the trailer)</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284</v>
      </c>
      <c r="U4594" s="15" t="n">
        <v>92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I-FA-0014</t>
        </is>
      </c>
      <c r="B4595" s="12" t="inlineStr">
        <is>
          <t>I</t>
        </is>
      </c>
      <c r="C4595" s="12" t="inlineStr">
        <is>
          <t>Modular / portable power</t>
        </is>
      </c>
      <c r="D4595" s="12" t="inlineStr">
        <is>
          <t>Fire alarm / F&amp;G loop (to the local FACP / F&amp;G node)</t>
        </is>
      </c>
      <c r="E4595" s="12" t="inlineStr">
        <is>
          <t>PAD-EH</t>
        </is>
      </c>
      <c r="F4595" s="12" t="inlineStr">
        <is>
          <t>PAD-EH 13.8 kV switchgear e-house</t>
        </is>
      </c>
      <c r="G4595" s="12" t="inlineStr">
        <is>
          <t>MOB-1</t>
        </is>
      </c>
      <c r="H4595" s="12" t="inlineStr">
        <is>
          <t>MOB-1: trailer genset</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266</v>
      </c>
      <c r="U4595" s="15" t="n">
        <v>32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I-FA-0015</t>
        </is>
      </c>
      <c r="B4596" s="12" t="inlineStr">
        <is>
          <t>I</t>
        </is>
      </c>
      <c r="C4596" s="12" t="inlineStr">
        <is>
          <t>Modular / portable power</t>
        </is>
      </c>
      <c r="D4596" s="12" t="inlineStr">
        <is>
          <t>Fire alarm / F&amp;G loop (to the local FACP / F&amp;G node)</t>
        </is>
      </c>
      <c r="E4596" s="12" t="inlineStr"/>
      <c r="F4596" s="12" t="inlineStr">
        <is>
          <t>PCM: power control module</t>
        </is>
      </c>
      <c r="G4596" s="12" t="inlineStr">
        <is>
          <t>MOD-EH</t>
        </is>
      </c>
      <c r="H4596" s="12" t="inlineStr">
        <is>
          <t>MOD-EH: 34.5 kV modular collector e-house (2 bus sections + 13.8 kV st</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300</v>
      </c>
      <c r="U4596" s="15" t="n">
        <v>32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I-FA-0016</t>
        </is>
      </c>
      <c r="B4597" s="12" t="inlineStr">
        <is>
          <t>I</t>
        </is>
      </c>
      <c r="C4597" s="12" t="inlineStr">
        <is>
          <t>Modular / portable power</t>
        </is>
      </c>
      <c r="D4597" s="12" t="inlineStr">
        <is>
          <t>Fire alarm / F&amp;G loop (to the local FACP / F&amp;G node)</t>
        </is>
      </c>
      <c r="E4597" s="12" t="inlineStr">
        <is>
          <t>PAD-EH</t>
        </is>
      </c>
      <c r="F4597" s="12" t="inlineStr">
        <is>
          <t>PAD-EH 13.8 kV switchgear e-house</t>
        </is>
      </c>
      <c r="G4597" s="12" t="inlineStr"/>
      <c r="H4597" s="12" t="inlineStr">
        <is>
          <t>MT-4..6 480 V switchboard</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234</v>
      </c>
      <c r="U4597" s="15" t="n">
        <v>37</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I-FA-0017</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MT-4</t>
        </is>
      </c>
      <c r="H4598" s="12" t="inlineStr">
        <is>
          <t>MT-4: microturbine 1 MW (1 MW package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318</v>
      </c>
      <c r="U4598" s="15" t="n">
        <v>33</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I-FA-0018</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MT-5</t>
        </is>
      </c>
      <c r="H4599" s="12" t="inlineStr">
        <is>
          <t>MT-5: microturbine 1 MW (1 MW package class)</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304</v>
      </c>
      <c r="U4599" s="15" t="n">
        <v>33</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I-FA-0019</t>
        </is>
      </c>
      <c r="B4600" s="12" t="inlineStr">
        <is>
          <t>I</t>
        </is>
      </c>
      <c r="C4600" s="12" t="inlineStr">
        <is>
          <t>Modular / portable power</t>
        </is>
      </c>
      <c r="D4600" s="12" t="inlineStr">
        <is>
          <t>Fire alarm / F&amp;G loop (to the local FACP / F&amp;G node)</t>
        </is>
      </c>
      <c r="E4600" s="12" t="inlineStr">
        <is>
          <t>PAD-EH</t>
        </is>
      </c>
      <c r="F4600" s="12" t="inlineStr">
        <is>
          <t>PAD-EH 13.8 kV switchgear e-house</t>
        </is>
      </c>
      <c r="G4600" s="12" t="inlineStr">
        <is>
          <t>MT-6</t>
        </is>
      </c>
      <c r="H4600" s="12" t="inlineStr">
        <is>
          <t>MT-6: microturbine 1 MW (1 MW package class)</t>
        </is>
      </c>
      <c r="I4600" s="12" t="inlineStr">
        <is>
          <t>Fire alarm</t>
        </is>
      </c>
      <c r="J4600" s="12" t="inlineStr">
        <is>
          <t>Fire alarm FPLR 2/C #14 shielded, red jacket (NEC 760)</t>
        </is>
      </c>
      <c r="K4600" s="12" t="inlineStr">
        <is>
          <t>FA|2/C|14</t>
        </is>
      </c>
      <c r="L4600" s="12" t="inlineStr">
        <is>
          <t>2/C</t>
        </is>
      </c>
      <c r="M4600" s="12" t="inlineStr">
        <is>
          <t>14</t>
        </is>
      </c>
      <c r="N4600" s="12" t="n">
        <v>1</v>
      </c>
      <c r="O4600" s="12" t="n">
        <v>1</v>
      </c>
      <c r="P4600" s="12" t="n"/>
      <c r="Q4600" s="12" t="n"/>
      <c r="R4600" s="12" t="n"/>
      <c r="S4600" s="12" t="inlineStr">
        <is>
          <t>Duct bank</t>
        </is>
      </c>
      <c r="T4600" s="15" t="n">
        <v>234</v>
      </c>
      <c r="U4600" s="15" t="n">
        <v>38</v>
      </c>
      <c r="V4600" s="15">
        <f>ROUNDUP((T4600+U4600+2*'Read Me'!$B$13)*(1+'Read Me'!$B$12),-1)</f>
        <v/>
      </c>
      <c r="W4600" s="15">
        <f>V4600*N4600*O4600</f>
        <v/>
      </c>
      <c r="X4600" s="12">
        <f>IF(LEFT(I4600,2)="MV",2*N4600*IF(L4600="1/C",O4600,1),0)</f>
        <v/>
      </c>
      <c r="Y4600" s="12">
        <f>IF(OR(LEFT(K4600,4)="LVAX",LEFT(K4600,6)="MV15AX",LEFT(K4600,4)="CTAX",LEFT(K4600,2)="W|"),2*N4600*O4600,0)</f>
        <v/>
      </c>
      <c r="Z4600" s="12" t="inlineStr"/>
      <c r="AA4600" s="12">
        <f>N4600*O4600</f>
        <v/>
      </c>
    </row>
    <row r="4601">
      <c r="A4601" s="12" t="inlineStr">
        <is>
          <t>I-FA-0020</t>
        </is>
      </c>
      <c r="B4601" s="12" t="inlineStr">
        <is>
          <t>I</t>
        </is>
      </c>
      <c r="C4601" s="12" t="inlineStr">
        <is>
          <t>Modular / portable power</t>
        </is>
      </c>
      <c r="D4601" s="12" t="inlineStr">
        <is>
          <t>Fire alarm / F&amp;G loop (to the local FACP / F&amp;G node)</t>
        </is>
      </c>
      <c r="E4601" s="12" t="inlineStr"/>
      <c r="F4601" s="12" t="inlineStr">
        <is>
          <t>PCM: power control module</t>
        </is>
      </c>
      <c r="G4601" s="12" t="inlineStr"/>
      <c r="H4601" s="12" t="inlineStr">
        <is>
          <t>PCM: power control module</t>
        </is>
      </c>
      <c r="I4601" s="12" t="inlineStr">
        <is>
          <t>Fire alarm</t>
        </is>
      </c>
      <c r="J4601" s="12" t="inlineStr">
        <is>
          <t>Fire alarm FPLR 2/C #14 shielded, red jacket (NEC 760)</t>
        </is>
      </c>
      <c r="K4601" s="12" t="inlineStr">
        <is>
          <t>FA|2/C|14</t>
        </is>
      </c>
      <c r="L4601" s="12" t="inlineStr">
        <is>
          <t>2/C</t>
        </is>
      </c>
      <c r="M4601" s="12" t="inlineStr">
        <is>
          <t>14</t>
        </is>
      </c>
      <c r="N4601" s="12" t="n">
        <v>1</v>
      </c>
      <c r="O4601" s="12" t="n">
        <v>1</v>
      </c>
      <c r="P4601" s="12" t="n"/>
      <c r="Q4601" s="12" t="n"/>
      <c r="R4601" s="12" t="n"/>
      <c r="S4601" s="12" t="inlineStr">
        <is>
          <t>Tray</t>
        </is>
      </c>
      <c r="T4601" s="15" t="n">
        <v>0</v>
      </c>
      <c r="U4601" s="15" t="n">
        <v>32</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I-FA-0021</t>
        </is>
      </c>
      <c r="B4602" s="12" t="inlineStr">
        <is>
          <t>I</t>
        </is>
      </c>
      <c r="C4602" s="12" t="inlineStr">
        <is>
          <t>Modular / portable power</t>
        </is>
      </c>
      <c r="D4602" s="12" t="inlineStr">
        <is>
          <t>Fire alarm / F&amp;G loop (to the local FACP / F&amp;G node)</t>
        </is>
      </c>
      <c r="E4602" s="12" t="inlineStr"/>
      <c r="F4602" s="12" t="inlineStr">
        <is>
          <t>PCM: power control module</t>
        </is>
      </c>
      <c r="G4602" s="12" t="inlineStr"/>
      <c r="H4602" s="12" t="inlineStr">
        <is>
          <t>RICE CEMS</t>
        </is>
      </c>
      <c r="I4602" s="12" t="inlineStr">
        <is>
          <t>Fire alarm</t>
        </is>
      </c>
      <c r="J4602" s="12" t="inlineStr">
        <is>
          <t>Fire alarm FPLR 2/C #14 shielded, red jacket (NEC 760)</t>
        </is>
      </c>
      <c r="K4602" s="12" t="inlineStr">
        <is>
          <t>FA|2/C|14</t>
        </is>
      </c>
      <c r="L4602" s="12" t="inlineStr">
        <is>
          <t>2/C</t>
        </is>
      </c>
      <c r="M4602" s="12" t="inlineStr">
        <is>
          <t>14</t>
        </is>
      </c>
      <c r="N4602" s="12" t="n">
        <v>1</v>
      </c>
      <c r="O4602" s="12" t="n">
        <v>1</v>
      </c>
      <c r="P4602" s="12" t="n"/>
      <c r="Q4602" s="12" t="n"/>
      <c r="R4602" s="12" t="n"/>
      <c r="S4602" s="12" t="inlineStr">
        <is>
          <t>Duct bank</t>
        </is>
      </c>
      <c r="T4602" s="15" t="n">
        <v>158</v>
      </c>
      <c r="U4602" s="15" t="n">
        <v>32</v>
      </c>
      <c r="V4602" s="15">
        <f>ROUNDUP((T4602+U4602+2*'Read Me'!$B$13)*(1+'Read Me'!$B$12),-1)</f>
        <v/>
      </c>
      <c r="W4602" s="15">
        <f>V4602*N4602*O4602</f>
        <v/>
      </c>
      <c r="X4602" s="12">
        <f>IF(LEFT(I4602,2)="MV",2*N4602*IF(L4602="1/C",O4602,1),0)</f>
        <v/>
      </c>
      <c r="Y4602" s="12">
        <f>IF(OR(LEFT(K4602,4)="LVAX",LEFT(K4602,6)="MV15AX",LEFT(K4602,4)="CTAX",LEFT(K4602,2)="W|"),2*N4602*O4602,0)</f>
        <v/>
      </c>
      <c r="Z4602" s="12" t="inlineStr"/>
      <c r="AA4602" s="12">
        <f>N4602*O4602</f>
        <v/>
      </c>
    </row>
    <row r="4603">
      <c r="A4603" s="12" t="inlineStr">
        <is>
          <t>I-FA-0022</t>
        </is>
      </c>
      <c r="B4603" s="12" t="inlineStr">
        <is>
          <t>I</t>
        </is>
      </c>
      <c r="C4603" s="12" t="inlineStr">
        <is>
          <t>Modular / portable power</t>
        </is>
      </c>
      <c r="D4603" s="12" t="inlineStr">
        <is>
          <t>Fire alarm / F&amp;G loop (to the local FACP / F&amp;G node)</t>
        </is>
      </c>
      <c r="E4603" s="12" t="inlineStr"/>
      <c r="F4603" s="12" t="inlineStr">
        <is>
          <t>PCM: power control module</t>
        </is>
      </c>
      <c r="G4603" s="12" t="inlineStr">
        <is>
          <t>RICE</t>
        </is>
      </c>
      <c r="H4603" s="12" t="inlineStr">
        <is>
          <t>RICE engine hall (8 engines)</t>
        </is>
      </c>
      <c r="I4603" s="12" t="inlineStr">
        <is>
          <t>Fire alarm</t>
        </is>
      </c>
      <c r="J4603" s="12" t="inlineStr">
        <is>
          <t>Fire alarm FPLR 2/C #14 shielded, red jacket (NEC 760)</t>
        </is>
      </c>
      <c r="K4603" s="12" t="inlineStr">
        <is>
          <t>FA|2/C|14</t>
        </is>
      </c>
      <c r="L4603" s="12" t="inlineStr">
        <is>
          <t>2/C</t>
        </is>
      </c>
      <c r="M4603" s="12" t="inlineStr">
        <is>
          <t>14</t>
        </is>
      </c>
      <c r="N4603" s="12" t="n">
        <v>1</v>
      </c>
      <c r="O4603" s="12" t="n">
        <v>1</v>
      </c>
      <c r="P4603" s="12" t="n"/>
      <c r="Q4603" s="12" t="n"/>
      <c r="R4603" s="12" t="n"/>
      <c r="S4603" s="12" t="inlineStr">
        <is>
          <t>Duct bank</t>
        </is>
      </c>
      <c r="T4603" s="15" t="n">
        <v>57</v>
      </c>
      <c r="U4603" s="15" t="n">
        <v>83</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I-FA-0023</t>
        </is>
      </c>
      <c r="B4604" s="12" t="inlineStr">
        <is>
          <t>I</t>
        </is>
      </c>
      <c r="C4604" s="12" t="inlineStr">
        <is>
          <t>Modular / portable power</t>
        </is>
      </c>
      <c r="D4604" s="12" t="inlineStr">
        <is>
          <t>SC-1 CEMS shelter fire alarm loop</t>
        </is>
      </c>
      <c r="E4604" s="12" t="inlineStr"/>
      <c r="F4604" s="12" t="inlineStr">
        <is>
          <t>SC-1 PCM + 15 kV GCB</t>
        </is>
      </c>
      <c r="G4604" s="12" t="inlineStr"/>
      <c r="H4604" s="12" t="inlineStr">
        <is>
          <t>SC-1 CEMS shelter</t>
        </is>
      </c>
      <c r="I4604" s="12" t="inlineStr">
        <is>
          <t>Fire alarm</t>
        </is>
      </c>
      <c r="J4604" s="12" t="inlineStr">
        <is>
          <t>Fire alarm FPLR 2/C #14 shielded, red jacket (NEC 760)</t>
        </is>
      </c>
      <c r="K4604" s="12" t="inlineStr">
        <is>
          <t>FA|2/C|14</t>
        </is>
      </c>
      <c r="L4604" s="12" t="inlineStr">
        <is>
          <t>2/C</t>
        </is>
      </c>
      <c r="M4604" s="12" t="inlineStr">
        <is>
          <t>14</t>
        </is>
      </c>
      <c r="N4604" s="12" t="n">
        <v>1</v>
      </c>
      <c r="O4604" s="12" t="n">
        <v>1</v>
      </c>
      <c r="P4604" s="12" t="n"/>
      <c r="Q4604" s="12" t="n"/>
      <c r="R4604" s="12" t="n"/>
      <c r="S4604" s="12" t="inlineStr">
        <is>
          <t>Duct bank</t>
        </is>
      </c>
      <c r="T4604" s="15" t="n">
        <v>81</v>
      </c>
      <c r="U4604" s="15" t="n">
        <v>106</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I-FA-0024</t>
        </is>
      </c>
      <c r="B4605" s="12" t="inlineStr">
        <is>
          <t>I</t>
        </is>
      </c>
      <c r="C4605" s="12" t="inlineStr">
        <is>
          <t>Modular / portable power</t>
        </is>
      </c>
      <c r="D4605" s="12" t="inlineStr">
        <is>
          <t>SC-1 PCM fire alarm / F&amp;G node to the plant FACP</t>
        </is>
      </c>
      <c r="E4605" s="12" t="inlineStr">
        <is>
          <t>CR</t>
        </is>
      </c>
      <c r="F4605" s="12" t="inlineStr">
        <is>
          <t>Control / admin building (main control room)</t>
        </is>
      </c>
      <c r="G4605" s="12" t="inlineStr"/>
      <c r="H4605" s="12" t="inlineStr">
        <is>
          <t>SC-1 PCM + 15 kV GCB</t>
        </is>
      </c>
      <c r="I4605" s="12" t="inlineStr">
        <is>
          <t>Fire alarm</t>
        </is>
      </c>
      <c r="J4605" s="12" t="inlineStr">
        <is>
          <t>Fire alarm FPLR 2/C #14 shielded, red jacket (NEC 760)</t>
        </is>
      </c>
      <c r="K4605" s="12" t="inlineStr">
        <is>
          <t>FA|2/C|14</t>
        </is>
      </c>
      <c r="L4605" s="12" t="inlineStr">
        <is>
          <t>2/C</t>
        </is>
      </c>
      <c r="M4605" s="12" t="inlineStr">
        <is>
          <t>14</t>
        </is>
      </c>
      <c r="N4605" s="12" t="n">
        <v>1</v>
      </c>
      <c r="O4605" s="12" t="n">
        <v>1</v>
      </c>
      <c r="P4605" s="12" t="n"/>
      <c r="Q4605" s="12" t="n"/>
      <c r="R4605" s="12" t="n"/>
      <c r="S4605" s="12" t="inlineStr">
        <is>
          <t>Duct bank</t>
        </is>
      </c>
      <c r="T4605" s="15" t="n">
        <v>4097</v>
      </c>
      <c r="U4605" s="15" t="n">
        <v>48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I-FA-0025</t>
        </is>
      </c>
      <c r="B4606" s="12" t="inlineStr">
        <is>
          <t>I</t>
        </is>
      </c>
      <c r="C4606" s="12" t="inlineStr">
        <is>
          <t>Modular / portable power</t>
        </is>
      </c>
      <c r="D4606" s="12" t="inlineStr">
        <is>
          <t>Fire alarm / F&amp;G loop (to the local FACP / F&amp;G node)</t>
        </is>
      </c>
      <c r="E4606" s="12" t="inlineStr"/>
      <c r="F4606" s="12" t="inlineStr">
        <is>
          <t>SC-1 PCM + 15 kV GCB</t>
        </is>
      </c>
      <c r="G4606" s="12" t="inlineStr">
        <is>
          <t>SC-1</t>
        </is>
      </c>
      <c r="H4606" s="12" t="inlineStr">
        <is>
          <t>SC-1: aeroderivative simple-cycle unit (50 MW class)</t>
        </is>
      </c>
      <c r="I4606" s="12" t="inlineStr">
        <is>
          <t>Fire alarm</t>
        </is>
      </c>
      <c r="J4606" s="12" t="inlineStr">
        <is>
          <t>Fire alarm FPLR 2/C #14 shielded, red jacket (NEC 760)</t>
        </is>
      </c>
      <c r="K4606" s="12" t="inlineStr">
        <is>
          <t>FA|2/C|14</t>
        </is>
      </c>
      <c r="L4606" s="12" t="inlineStr">
        <is>
          <t>2/C</t>
        </is>
      </c>
      <c r="M4606" s="12" t="inlineStr">
        <is>
          <t>14</t>
        </is>
      </c>
      <c r="N4606" s="12" t="n">
        <v>1</v>
      </c>
      <c r="O4606" s="12" t="n">
        <v>1</v>
      </c>
      <c r="P4606" s="12" t="n"/>
      <c r="Q4606" s="12" t="n"/>
      <c r="R4606" s="12" t="n"/>
      <c r="S4606" s="12" t="inlineStr">
        <is>
          <t>Tray</t>
        </is>
      </c>
      <c r="T4606" s="15" t="n">
        <v>5</v>
      </c>
      <c r="U4606" s="15" t="n">
        <v>62</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I-FA-0026</t>
        </is>
      </c>
      <c r="B4607" s="12" t="inlineStr">
        <is>
          <t>I</t>
        </is>
      </c>
      <c r="C4607" s="12" t="inlineStr">
        <is>
          <t>Modular / portable power</t>
        </is>
      </c>
      <c r="D4607" s="12" t="inlineStr">
        <is>
          <t>SC-2 CEMS shelter fire alarm loop</t>
        </is>
      </c>
      <c r="E4607" s="12" t="inlineStr"/>
      <c r="F4607" s="12" t="inlineStr">
        <is>
          <t>SC-2 PCM + 15 kV GCB</t>
        </is>
      </c>
      <c r="G4607" s="12" t="inlineStr"/>
      <c r="H4607" s="12" t="inlineStr">
        <is>
          <t>SC-2 CEMS shelter</t>
        </is>
      </c>
      <c r="I4607" s="12" t="inlineStr">
        <is>
          <t>Fire alarm</t>
        </is>
      </c>
      <c r="J4607" s="12" t="inlineStr">
        <is>
          <t>Fire alarm FPLR 2/C #14 shielded, red jacket (NEC 760)</t>
        </is>
      </c>
      <c r="K4607" s="12" t="inlineStr">
        <is>
          <t>FA|2/C|14</t>
        </is>
      </c>
      <c r="L4607" s="12" t="inlineStr">
        <is>
          <t>2/C</t>
        </is>
      </c>
      <c r="M4607" s="12" t="inlineStr">
        <is>
          <t>14</t>
        </is>
      </c>
      <c r="N4607" s="12" t="n">
        <v>1</v>
      </c>
      <c r="O4607" s="12" t="n">
        <v>1</v>
      </c>
      <c r="P4607" s="12" t="n"/>
      <c r="Q4607" s="12" t="n"/>
      <c r="R4607" s="12" t="n"/>
      <c r="S4607" s="12" t="inlineStr">
        <is>
          <t>Duct bank</t>
        </is>
      </c>
      <c r="T4607" s="15" t="n">
        <v>74</v>
      </c>
      <c r="U4607" s="15" t="n">
        <v>112</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I-FA-0027</t>
        </is>
      </c>
      <c r="B4608" s="12" t="inlineStr">
        <is>
          <t>I</t>
        </is>
      </c>
      <c r="C4608" s="12" t="inlineStr">
        <is>
          <t>Modular / portable power</t>
        </is>
      </c>
      <c r="D4608" s="12" t="inlineStr">
        <is>
          <t>SC-2 PCM fire alarm / F&amp;G node to the plant FACP</t>
        </is>
      </c>
      <c r="E4608" s="12" t="inlineStr">
        <is>
          <t>CR</t>
        </is>
      </c>
      <c r="F4608" s="12" t="inlineStr">
        <is>
          <t>Control / admin building (main control room)</t>
        </is>
      </c>
      <c r="G4608" s="12" t="inlineStr"/>
      <c r="H4608" s="12" t="inlineStr">
        <is>
          <t>SC-2 PCM + 15 kV GCB</t>
        </is>
      </c>
      <c r="I4608" s="12" t="inlineStr">
        <is>
          <t>Fire alarm</t>
        </is>
      </c>
      <c r="J4608" s="12" t="inlineStr">
        <is>
          <t>Fire alarm FPLR 2/C #14 shielded, red jacket (NEC 760)</t>
        </is>
      </c>
      <c r="K4608" s="12" t="inlineStr">
        <is>
          <t>FA|2/C|14</t>
        </is>
      </c>
      <c r="L4608" s="12" t="inlineStr">
        <is>
          <t>2/C</t>
        </is>
      </c>
      <c r="M4608" s="12" t="inlineStr">
        <is>
          <t>14</t>
        </is>
      </c>
      <c r="N4608" s="12" t="n">
        <v>1</v>
      </c>
      <c r="O4608" s="12" t="n">
        <v>1</v>
      </c>
      <c r="P4608" s="12" t="n"/>
      <c r="Q4608" s="12" t="n"/>
      <c r="R4608" s="12" t="n"/>
      <c r="S4608" s="12" t="inlineStr">
        <is>
          <t>Duct bank</t>
        </is>
      </c>
      <c r="T4608" s="15" t="n">
        <v>4178</v>
      </c>
      <c r="U4608" s="15" t="n">
        <v>43</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I-FA-0028</t>
        </is>
      </c>
      <c r="B4609" s="12" t="inlineStr">
        <is>
          <t>I</t>
        </is>
      </c>
      <c r="C4609" s="12" t="inlineStr">
        <is>
          <t>Modular / portable power</t>
        </is>
      </c>
      <c r="D4609" s="12" t="inlineStr">
        <is>
          <t>Fire alarm / F&amp;G loop (to the local FACP / F&amp;G node)</t>
        </is>
      </c>
      <c r="E4609" s="12" t="inlineStr"/>
      <c r="F4609" s="12" t="inlineStr">
        <is>
          <t>SC-2 PCM + 15 kV GCB</t>
        </is>
      </c>
      <c r="G4609" s="12" t="inlineStr">
        <is>
          <t>SC-2</t>
        </is>
      </c>
      <c r="H4609" s="12" t="inlineStr">
        <is>
          <t>SC-2: aeroderivative simple-cycle unit (50 MW class)</t>
        </is>
      </c>
      <c r="I4609" s="12" t="inlineStr">
        <is>
          <t>Fire alarm</t>
        </is>
      </c>
      <c r="J4609" s="12" t="inlineStr">
        <is>
          <t>Fire alarm FPLR 2/C #14 shielded, red jacket (NEC 760)</t>
        </is>
      </c>
      <c r="K4609" s="12" t="inlineStr">
        <is>
          <t>FA|2/C|14</t>
        </is>
      </c>
      <c r="L4609" s="12" t="inlineStr">
        <is>
          <t>2/C</t>
        </is>
      </c>
      <c r="M4609" s="12" t="inlineStr">
        <is>
          <t>14</t>
        </is>
      </c>
      <c r="N4609" s="12" t="n">
        <v>1</v>
      </c>
      <c r="O4609" s="12" t="n">
        <v>1</v>
      </c>
      <c r="P4609" s="12" t="n"/>
      <c r="Q4609" s="12" t="n"/>
      <c r="R4609" s="12" t="n"/>
      <c r="S4609" s="12" t="inlineStr">
        <is>
          <t>Duct bank</t>
        </is>
      </c>
      <c r="T4609" s="15" t="n">
        <v>35</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I-FA-0029</t>
        </is>
      </c>
      <c r="B4610" s="12" t="inlineStr">
        <is>
          <t>I</t>
        </is>
      </c>
      <c r="C4610" s="12" t="inlineStr">
        <is>
          <t>Modular / portable power</t>
        </is>
      </c>
      <c r="D4610" s="12" t="inlineStr">
        <is>
          <t>Fire alarm / F&amp;G loop (to the local FACP / F&amp;G node)</t>
        </is>
      </c>
      <c r="E4610" s="12" t="inlineStr">
        <is>
          <t>PAD-EH</t>
        </is>
      </c>
      <c r="F4610" s="12" t="inlineStr">
        <is>
          <t>PAD-EH 13.8 kV switchgear e-house</t>
        </is>
      </c>
      <c r="G4610" s="12" t="inlineStr">
        <is>
          <t>TM-1</t>
        </is>
      </c>
      <c r="H4610" s="12" t="inlineStr">
        <is>
          <t>TM-1: trailer-mounted aeroderivative GT (~35 MW)</t>
        </is>
      </c>
      <c r="I4610" s="12" t="inlineStr">
        <is>
          <t>Fire alarm</t>
        </is>
      </c>
      <c r="J4610" s="12" t="inlineStr">
        <is>
          <t>Fire alarm FPLR 2/C #14 shielded, red jacket (NEC 760)</t>
        </is>
      </c>
      <c r="K4610" s="12" t="inlineStr">
        <is>
          <t>FA|2/C|14</t>
        </is>
      </c>
      <c r="L4610" s="12" t="inlineStr">
        <is>
          <t>2/C</t>
        </is>
      </c>
      <c r="M4610" s="12" t="inlineStr">
        <is>
          <t>14</t>
        </is>
      </c>
      <c r="N4610" s="12" t="n">
        <v>1</v>
      </c>
      <c r="O4610" s="12" t="n">
        <v>1</v>
      </c>
      <c r="P4610" s="12" t="n"/>
      <c r="Q4610" s="12" t="n"/>
      <c r="R4610" s="12" t="n"/>
      <c r="S4610" s="12" t="inlineStr">
        <is>
          <t>Duct bank</t>
        </is>
      </c>
      <c r="T4610" s="15" t="n">
        <v>435</v>
      </c>
      <c r="U4610" s="15" t="n">
        <v>39</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I-G-0001</t>
        </is>
      </c>
      <c r="B4611" s="12" t="inlineStr">
        <is>
          <t>I</t>
        </is>
      </c>
      <c r="C4611" s="12" t="inlineStr">
        <is>
          <t>Modular / portable power</t>
        </is>
      </c>
      <c r="D4611" s="12" t="inlineStr">
        <is>
          <t>L6 GB-1 block ground ring (4/0 bare Cu) + 7 taps</t>
        </is>
      </c>
      <c r="E4611" s="12" t="inlineStr">
        <is>
          <t>GBT-1</t>
        </is>
      </c>
      <c r="F4611" s="12" t="inlineStr">
        <is>
          <t>GBT-1: block GB-1 step-up 480 V : 34.5 kV, ~3 MVA pad-mount (on the 35</t>
        </is>
      </c>
      <c r="G4611" s="12" t="inlineStr">
        <is>
          <t>GBT-1</t>
        </is>
      </c>
      <c r="H4611" s="12" t="inlineStr">
        <is>
          <t>GBT-1: block GB-1 step-up 480 V : 34.5 kV, ~3 MVA pad-mount (on the 35</t>
        </is>
      </c>
      <c r="I4611" s="12" t="inlineStr">
        <is>
          <t>Grounding</t>
        </is>
      </c>
      <c r="J4611" s="12" t="inlineStr">
        <is>
          <t>Bare Cu 4/0 AWG, 19 strand (ground grid and equipment grounds)</t>
        </is>
      </c>
      <c r="K4611" s="12" t="inlineStr">
        <is>
          <t>BARE|1/C|4/0</t>
        </is>
      </c>
      <c r="L4611" s="12" t="inlineStr">
        <is>
          <t>1/C</t>
        </is>
      </c>
      <c r="M4611" s="12" t="inlineStr">
        <is>
          <t>4/0</t>
        </is>
      </c>
      <c r="N4611" s="12" t="n">
        <v>1</v>
      </c>
      <c r="O4611" s="12" t="n">
        <v>1</v>
      </c>
      <c r="P4611" s="12" t="n"/>
      <c r="Q4611" s="12" t="n"/>
      <c r="R4611" s="12" t="n"/>
      <c r="S4611" s="12" t="inlineStr">
        <is>
          <t>Buried</t>
        </is>
      </c>
      <c r="T4611" s="15" t="n">
        <v>236</v>
      </c>
      <c r="U4611" s="15" t="n">
        <v>0</v>
      </c>
      <c r="V4611" s="15">
        <f>ROUNDUP((T4611+U4611+2*'Read Me'!$B$13)*(1+'Read Me'!$B$12),-1)</f>
        <v/>
      </c>
      <c r="W4611" s="15">
        <f>V4611*N4611*O4611</f>
        <v/>
      </c>
      <c r="X4611" s="12">
        <f>IF(LEFT(I4611,2)="MV",2*N4611*IF(L4611="1/C",O4611,1),0)</f>
        <v/>
      </c>
      <c r="Y4611" s="12">
        <f>IF(OR(LEFT(K4611,4)="LVAX",LEFT(K4611,6)="MV15AX",LEFT(K4611,4)="CTAX",LEFT(K4611,2)="W|"),2*N4611*O4611,0)</f>
        <v/>
      </c>
      <c r="Z4611" s="12" t="inlineStr">
        <is>
          <t>ring 2 x (74 + 23) ft + 7 taps x 6 ft</t>
        </is>
      </c>
      <c r="AA4611" s="12">
        <f>N4611*O4611</f>
        <v/>
      </c>
    </row>
    <row r="4612">
      <c r="A4612" s="12" t="inlineStr">
        <is>
          <t>I-G-0002</t>
        </is>
      </c>
      <c r="B4612" s="12" t="inlineStr">
        <is>
          <t>I</t>
        </is>
      </c>
      <c r="C4612" s="12" t="inlineStr">
        <is>
          <t>Modular / portable power</t>
        </is>
      </c>
      <c r="D4612" s="12" t="inlineStr">
        <is>
          <t>L6 GB-2 block ground ring (4/0 bare Cu) + 7 taps</t>
        </is>
      </c>
      <c r="E4612" s="12" t="inlineStr">
        <is>
          <t>GBT-2</t>
        </is>
      </c>
      <c r="F4612" s="12" t="inlineStr">
        <is>
          <t>GBT-2: block GB-2 step-up 480 V : 34.5 kV, ~3 MVA pad-mount (on the 35</t>
        </is>
      </c>
      <c r="G4612" s="12" t="inlineStr">
        <is>
          <t>GBT-2</t>
        </is>
      </c>
      <c r="H4612" s="12" t="inlineStr">
        <is>
          <t>GBT-2: block GB-2 step-up 480 V : 34.5 kV, ~3 MVA pad-mount (on the 35</t>
        </is>
      </c>
      <c r="I4612" s="12" t="inlineStr">
        <is>
          <t>Grounding</t>
        </is>
      </c>
      <c r="J4612" s="12" t="inlineStr">
        <is>
          <t>Bare Cu 4/0 AWG, 19 strand (ground grid and equipment grounds)</t>
        </is>
      </c>
      <c r="K4612" s="12" t="inlineStr">
        <is>
          <t>BARE|1/C|4/0</t>
        </is>
      </c>
      <c r="L4612" s="12" t="inlineStr">
        <is>
          <t>1/C</t>
        </is>
      </c>
      <c r="M4612" s="12" t="inlineStr">
        <is>
          <t>4/0</t>
        </is>
      </c>
      <c r="N4612" s="12" t="n">
        <v>1</v>
      </c>
      <c r="O4612" s="12" t="n">
        <v>1</v>
      </c>
      <c r="P4612" s="12" t="n"/>
      <c r="Q4612" s="12" t="n"/>
      <c r="R4612" s="12" t="n"/>
      <c r="S4612" s="12" t="inlineStr">
        <is>
          <t>Buried</t>
        </is>
      </c>
      <c r="T4612" s="15" t="n">
        <v>236</v>
      </c>
      <c r="U4612" s="15" t="n">
        <v>0</v>
      </c>
      <c r="V4612" s="15">
        <f>ROUNDUP((T4612+U4612+2*'Read Me'!$B$13)*(1+'Read Me'!$B$12),-1)</f>
        <v/>
      </c>
      <c r="W4612" s="15">
        <f>V4612*N4612*O4612</f>
        <v/>
      </c>
      <c r="X4612" s="12">
        <f>IF(LEFT(I4612,2)="MV",2*N4612*IF(L4612="1/C",O4612,1),0)</f>
        <v/>
      </c>
      <c r="Y4612" s="12">
        <f>IF(OR(LEFT(K4612,4)="LVAX",LEFT(K4612,6)="MV15AX",LEFT(K4612,4)="CTAX",LEFT(K4612,2)="W|"),2*N4612*O4612,0)</f>
        <v/>
      </c>
      <c r="Z4612" s="12" t="inlineStr">
        <is>
          <t>ring 2 x (74 + 23) ft + 7 taps x 6 ft</t>
        </is>
      </c>
      <c r="AA4612" s="12">
        <f>N4612*O4612</f>
        <v/>
      </c>
    </row>
    <row r="4613">
      <c r="A4613" s="12" t="inlineStr">
        <is>
          <t>I-G-0003</t>
        </is>
      </c>
      <c r="B4613" s="12" t="inlineStr">
        <is>
          <t>I</t>
        </is>
      </c>
      <c r="C4613" s="12" t="inlineStr">
        <is>
          <t>Modular / portable power</t>
        </is>
      </c>
      <c r="D4613" s="12" t="inlineStr">
        <is>
          <t>L6 GB-3 block ground ring (4/0 bare Cu) + 7 taps</t>
        </is>
      </c>
      <c r="E4613" s="12" t="inlineStr">
        <is>
          <t>GBT-3</t>
        </is>
      </c>
      <c r="F4613" s="12" t="inlineStr">
        <is>
          <t>GBT-3: block GB-3 step-up 480 V : 34.5 kV, ~3 MVA pad-mount (on the 35</t>
        </is>
      </c>
      <c r="G4613" s="12" t="inlineStr">
        <is>
          <t>GBT-3</t>
        </is>
      </c>
      <c r="H4613" s="12" t="inlineStr">
        <is>
          <t>GBT-3: block GB-3 step-up 480 V : 34.5 kV, ~3 MVA pad-mount (on the 35</t>
        </is>
      </c>
      <c r="I4613" s="12" t="inlineStr">
        <is>
          <t>Grounding</t>
        </is>
      </c>
      <c r="J4613" s="12" t="inlineStr">
        <is>
          <t>Bare Cu 4/0 AWG, 19 strand (ground grid and equipment grounds)</t>
        </is>
      </c>
      <c r="K4613" s="12" t="inlineStr">
        <is>
          <t>BARE|1/C|4/0</t>
        </is>
      </c>
      <c r="L4613" s="12" t="inlineStr">
        <is>
          <t>1/C</t>
        </is>
      </c>
      <c r="M4613" s="12" t="inlineStr">
        <is>
          <t>4/0</t>
        </is>
      </c>
      <c r="N4613" s="12" t="n">
        <v>1</v>
      </c>
      <c r="O4613" s="12" t="n">
        <v>1</v>
      </c>
      <c r="P4613" s="12" t="n"/>
      <c r="Q4613" s="12" t="n"/>
      <c r="R4613" s="12" t="n"/>
      <c r="S4613" s="12" t="inlineStr">
        <is>
          <t>Buried</t>
        </is>
      </c>
      <c r="T4613" s="15" t="n">
        <v>236</v>
      </c>
      <c r="U4613" s="15" t="n">
        <v>0</v>
      </c>
      <c r="V4613" s="15">
        <f>ROUNDUP((T4613+U4613+2*'Read Me'!$B$13)*(1+'Read Me'!$B$12),-1)</f>
        <v/>
      </c>
      <c r="W4613" s="15">
        <f>V4613*N4613*O4613</f>
        <v/>
      </c>
      <c r="X4613" s="12">
        <f>IF(LEFT(I4613,2)="MV",2*N4613*IF(L4613="1/C",O4613,1),0)</f>
        <v/>
      </c>
      <c r="Y4613" s="12">
        <f>IF(OR(LEFT(K4613,4)="LVAX",LEFT(K4613,6)="MV15AX",LEFT(K4613,4)="CTAX",LEFT(K4613,2)="W|"),2*N4613*O4613,0)</f>
        <v/>
      </c>
      <c r="Z4613" s="12" t="inlineStr">
        <is>
          <t>ring 2 x (74 + 23) ft + 7 taps x 6 ft</t>
        </is>
      </c>
      <c r="AA4613" s="12">
        <f>N4613*O4613</f>
        <v/>
      </c>
    </row>
    <row r="4614">
      <c r="A4614" s="12" t="inlineStr">
        <is>
          <t>I-G-0004</t>
        </is>
      </c>
      <c r="B4614" s="12" t="inlineStr">
        <is>
          <t>I</t>
        </is>
      </c>
      <c r="C4614" s="12" t="inlineStr">
        <is>
          <t>Modular / portable power</t>
        </is>
      </c>
      <c r="D4614" s="12" t="inlineStr">
        <is>
          <t>L6 GB-4 block ground ring (4/0 bare Cu) + 7 taps</t>
        </is>
      </c>
      <c r="E4614" s="12" t="inlineStr">
        <is>
          <t>GBT-4</t>
        </is>
      </c>
      <c r="F4614" s="12" t="inlineStr">
        <is>
          <t>GBT-4: block GB-4 step-up 480 V : 34.5 kV, ~3 MVA pad-mount (on the 35</t>
        </is>
      </c>
      <c r="G4614" s="12" t="inlineStr">
        <is>
          <t>GBT-4</t>
        </is>
      </c>
      <c r="H4614" s="12" t="inlineStr">
        <is>
          <t>GBT-4: block GB-4 step-up 480 V : 34.5 kV, ~3 MVA pad-mount (on the 35</t>
        </is>
      </c>
      <c r="I4614" s="12" t="inlineStr">
        <is>
          <t>Grounding</t>
        </is>
      </c>
      <c r="J4614" s="12" t="inlineStr">
        <is>
          <t>Bare Cu 4/0 AWG, 19 strand (ground grid and equipment grounds)</t>
        </is>
      </c>
      <c r="K4614" s="12" t="inlineStr">
        <is>
          <t>BARE|1/C|4/0</t>
        </is>
      </c>
      <c r="L4614" s="12" t="inlineStr">
        <is>
          <t>1/C</t>
        </is>
      </c>
      <c r="M4614" s="12" t="inlineStr">
        <is>
          <t>4/0</t>
        </is>
      </c>
      <c r="N4614" s="12" t="n">
        <v>1</v>
      </c>
      <c r="O4614" s="12" t="n">
        <v>1</v>
      </c>
      <c r="P4614" s="12" t="n"/>
      <c r="Q4614" s="12" t="n"/>
      <c r="R4614" s="12" t="n"/>
      <c r="S4614" s="12" t="inlineStr">
        <is>
          <t>Buried</t>
        </is>
      </c>
      <c r="T4614" s="15" t="n">
        <v>236</v>
      </c>
      <c r="U4614" s="15" t="n">
        <v>0</v>
      </c>
      <c r="V4614" s="15">
        <f>ROUNDUP((T4614+U4614+2*'Read Me'!$B$13)*(1+'Read Me'!$B$12),-1)</f>
        <v/>
      </c>
      <c r="W4614" s="15">
        <f>V4614*N4614*O4614</f>
        <v/>
      </c>
      <c r="X4614" s="12">
        <f>IF(LEFT(I4614,2)="MV",2*N4614*IF(L4614="1/C",O4614,1),0)</f>
        <v/>
      </c>
      <c r="Y4614" s="12">
        <f>IF(OR(LEFT(K4614,4)="LVAX",LEFT(K4614,6)="MV15AX",LEFT(K4614,4)="CTAX",LEFT(K4614,2)="W|"),2*N4614*O4614,0)</f>
        <v/>
      </c>
      <c r="Z4614" s="12" t="inlineStr">
        <is>
          <t>ring 2 x (74 + 23) ft + 7 taps x 6 ft</t>
        </is>
      </c>
      <c r="AA4614" s="12">
        <f>N4614*O4614</f>
        <v/>
      </c>
    </row>
    <row r="4615">
      <c r="A4615" s="12" t="inlineStr">
        <is>
          <t>I-I-0001</t>
        </is>
      </c>
      <c r="B4615" s="12" t="inlineStr">
        <is>
          <t>I</t>
        </is>
      </c>
      <c r="C4615" s="12" t="inlineStr">
        <is>
          <t>Modular / portable power</t>
        </is>
      </c>
      <c r="D4615" s="12" t="inlineStr">
        <is>
          <t>AX-GSU monitoring: temperatures, gas relay, oil level</t>
        </is>
      </c>
      <c r="E4615" s="12" t="inlineStr">
        <is>
          <t>AX-1</t>
        </is>
      </c>
      <c r="F4615" s="12" t="inlineStr">
        <is>
          <t>AX-1: compact modular aeroderivative installation, ~35 MW class (~35 M</t>
        </is>
      </c>
      <c r="G4615" s="12" t="inlineStr">
        <is>
          <t>AX-GSU</t>
        </is>
      </c>
      <c r="H4615" s="12" t="inlineStr">
        <is>
          <t>AX-GSU: 13.8 / 34.5 kV step-up, ~45 MVA (AX-1 unit step-up)</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Duct bank</t>
        </is>
      </c>
      <c r="T4615" s="15" t="n">
        <v>28</v>
      </c>
      <c r="U4615" s="15" t="n">
        <v>32</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I-I-0002</t>
        </is>
      </c>
      <c r="B4616" s="12" t="inlineStr">
        <is>
          <t>I</t>
        </is>
      </c>
      <c r="C4616" s="12" t="inlineStr">
        <is>
          <t>Modular / portable power</t>
        </is>
      </c>
      <c r="D4616" s="12" t="inlineStr">
        <is>
          <t>Analog instrument to JB JB-Aqueous ammonia (S-AI01: 6 x 1 pr (field cables)</t>
        </is>
      </c>
      <c r="E4616" s="12" t="inlineStr"/>
      <c r="F4616" s="12" t="inlineStr">
        <is>
          <t>Aqueous ammonia (SC units)</t>
        </is>
      </c>
      <c r="G4616" s="12" t="inlineStr">
        <is>
          <t>JB-Aqueous ammonia (S-AI01</t>
        </is>
      </c>
      <c r="H4616" s="12" t="inlineStr">
        <is>
          <t>Aqueous ammonia (SC units)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5" t="n">
        <v>55</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I-I-0003</t>
        </is>
      </c>
      <c r="B4617" s="12" t="inlineStr">
        <is>
          <t>I</t>
        </is>
      </c>
      <c r="C4617" s="12" t="inlineStr">
        <is>
          <t>Modular / portable power</t>
        </is>
      </c>
      <c r="D4617" s="12" t="inlineStr">
        <is>
          <t>Home run JB-Aqueous ammonia (S-AI01 to the control / marshalling room</t>
        </is>
      </c>
      <c r="E4617" s="12" t="inlineStr"/>
      <c r="F4617" s="12" t="inlineStr">
        <is>
          <t>SC-2 PCM + 15 kV GCB</t>
        </is>
      </c>
      <c r="G4617" s="12" t="inlineStr">
        <is>
          <t>JB-Aqueous ammonia (S-AI01</t>
        </is>
      </c>
      <c r="H4617" s="12" t="inlineStr">
        <is>
          <t>Aqueous ammonia (SC units)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5" t="n">
        <v>0</v>
      </c>
      <c r="U4617" s="15" t="n">
        <v>98</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I-I-0004</t>
        </is>
      </c>
      <c r="B4618" s="12" t="inlineStr">
        <is>
          <t>I</t>
        </is>
      </c>
      <c r="C4618" s="12" t="inlineStr">
        <is>
          <t>Modular / portable power</t>
        </is>
      </c>
      <c r="D4618" s="12" t="inlineStr">
        <is>
          <t>Discrete device to JB JB-Aqueous ammonia (S-DI01: 6 x 1 pr (field cables)</t>
        </is>
      </c>
      <c r="E4618" s="12" t="inlineStr"/>
      <c r="F4618" s="12" t="inlineStr">
        <is>
          <t>Aqueous ammonia (SC units)</t>
        </is>
      </c>
      <c r="G4618" s="12" t="inlineStr">
        <is>
          <t>JB-Aqueous ammonia (S-DI01</t>
        </is>
      </c>
      <c r="H4618" s="12" t="inlineStr">
        <is>
          <t>Aqueous ammonia (SC units)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5" t="n">
        <v>55</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I-I-0005</t>
        </is>
      </c>
      <c r="B4619" s="12" t="inlineStr">
        <is>
          <t>I</t>
        </is>
      </c>
      <c r="C4619" s="12" t="inlineStr">
        <is>
          <t>Modular / portable power</t>
        </is>
      </c>
      <c r="D4619" s="12" t="inlineStr">
        <is>
          <t>Home run JB-Aqueous ammonia (S-DI01 to the control / marshalling room</t>
        </is>
      </c>
      <c r="E4619" s="12" t="inlineStr"/>
      <c r="F4619" s="12" t="inlineStr">
        <is>
          <t>SC-2 PCM + 15 kV GCB</t>
        </is>
      </c>
      <c r="G4619" s="12" t="inlineStr">
        <is>
          <t>JB-Aqueous ammonia (S-DI01</t>
        </is>
      </c>
      <c r="H4619" s="12" t="inlineStr">
        <is>
          <t>Aqueous ammonia (SC units)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5" t="n">
        <v>0</v>
      </c>
      <c r="U4619" s="15" t="n">
        <v>98</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I-I-0006</t>
        </is>
      </c>
      <c r="B4620" s="12" t="inlineStr">
        <is>
          <t>I</t>
        </is>
      </c>
      <c r="C4620" s="12" t="inlineStr">
        <is>
          <t>Modular / portable power</t>
        </is>
      </c>
      <c r="D4620" s="12" t="inlineStr">
        <is>
          <t>Analog instrument to JB JB-Black-start genset-AI01: 20 x 1 pr (field cables)</t>
        </is>
      </c>
      <c r="E4620" s="12" t="inlineStr"/>
      <c r="F4620" s="12" t="inlineStr">
        <is>
          <t>Black-start genset (proposed; requires study)</t>
        </is>
      </c>
      <c r="G4620" s="12" t="inlineStr">
        <is>
          <t>JB-Black-start genset-AI01</t>
        </is>
      </c>
      <c r="H4620" s="12" t="inlineStr">
        <is>
          <t>Black-start genset (proposed; requires study)</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5" t="n">
        <v>59</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I-I-0007</t>
        </is>
      </c>
      <c r="B4621" s="12" t="inlineStr">
        <is>
          <t>I</t>
        </is>
      </c>
      <c r="C4621" s="12" t="inlineStr">
        <is>
          <t>Modular / portable power</t>
        </is>
      </c>
      <c r="D4621" s="12" t="inlineStr">
        <is>
          <t>Home run JB-Black-start genset-AI01 to the control / marshalling room</t>
        </is>
      </c>
      <c r="E4621" s="12" t="inlineStr"/>
      <c r="F4621" s="12" t="inlineStr">
        <is>
          <t>PCM: power control module</t>
        </is>
      </c>
      <c r="G4621" s="12" t="inlineStr">
        <is>
          <t>JB-Black-start genset-AI01</t>
        </is>
      </c>
      <c r="H4621" s="12" t="inlineStr">
        <is>
          <t>Black-start genset (proposed; requires study)</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5" t="n">
        <v>590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I-I-0008</t>
        </is>
      </c>
      <c r="B4622" s="12" t="inlineStr">
        <is>
          <t>I</t>
        </is>
      </c>
      <c r="C4622" s="12" t="inlineStr">
        <is>
          <t>Modular / portable power</t>
        </is>
      </c>
      <c r="D4622" s="12" t="inlineStr">
        <is>
          <t>Discrete device to JB JB-Black-start genset-DI01: 20 x 1 pr (field cables)</t>
        </is>
      </c>
      <c r="E4622" s="12" t="inlineStr"/>
      <c r="F4622" s="12" t="inlineStr">
        <is>
          <t>Black-start genset (proposed; requires study)</t>
        </is>
      </c>
      <c r="G4622" s="12" t="inlineStr">
        <is>
          <t>JB-Black-start genset-DI01</t>
        </is>
      </c>
      <c r="H4622" s="12" t="inlineStr">
        <is>
          <t>Black-start genset (proposed; requires study)</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5" t="n">
        <v>59</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I-I-0009</t>
        </is>
      </c>
      <c r="B4623" s="12" t="inlineStr">
        <is>
          <t>I</t>
        </is>
      </c>
      <c r="C4623" s="12" t="inlineStr">
        <is>
          <t>Modular / portable power</t>
        </is>
      </c>
      <c r="D4623" s="12" t="inlineStr">
        <is>
          <t>Home run JB-Black-start genset-DI01 to the control / marshalling room</t>
        </is>
      </c>
      <c r="E4623" s="12" t="inlineStr"/>
      <c r="F4623" s="12" t="inlineStr">
        <is>
          <t>PCM: power control module</t>
        </is>
      </c>
      <c r="G4623" s="12" t="inlineStr">
        <is>
          <t>JB-Black-start genset-DI01</t>
        </is>
      </c>
      <c r="H4623" s="12" t="inlineStr">
        <is>
          <t>Black-start genset (proposed; requires study)</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5" t="n">
        <v>590</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I-I-0010</t>
        </is>
      </c>
      <c r="B4624" s="12" t="inlineStr">
        <is>
          <t>I</t>
        </is>
      </c>
      <c r="C4624" s="12" t="inlineStr">
        <is>
          <t>Modular / portable power</t>
        </is>
      </c>
      <c r="D4624" s="12" t="inlineStr">
        <is>
          <t>Analog instrument to JB JB-Black-start genset-AI01: 20 x 1 pr (field cables)</t>
        </is>
      </c>
      <c r="E4624" s="12" t="inlineStr"/>
      <c r="F4624" s="12" t="inlineStr">
        <is>
          <t>Black-start genset (proposed; requires study)</t>
        </is>
      </c>
      <c r="G4624" s="12" t="inlineStr">
        <is>
          <t>JB-Black-start genset-AI01</t>
        </is>
      </c>
      <c r="H4624" s="12" t="inlineStr">
        <is>
          <t>Black-start genset (proposed; requires study)</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5" t="n">
        <v>59</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I-I-0011</t>
        </is>
      </c>
      <c r="B4625" s="12" t="inlineStr">
        <is>
          <t>I</t>
        </is>
      </c>
      <c r="C4625" s="12" t="inlineStr">
        <is>
          <t>Modular / portable power</t>
        </is>
      </c>
      <c r="D4625" s="12" t="inlineStr">
        <is>
          <t>Home run JB-Black-start genset-AI01 to the control / marshalling room</t>
        </is>
      </c>
      <c r="E4625" s="12" t="inlineStr"/>
      <c r="F4625" s="12" t="inlineStr">
        <is>
          <t>PCM: power control module</t>
        </is>
      </c>
      <c r="G4625" s="12" t="inlineStr">
        <is>
          <t>JB-Black-start genset-AI01</t>
        </is>
      </c>
      <c r="H4625" s="12" t="inlineStr">
        <is>
          <t>Black-start genset (proposed; requires study)</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5" t="n">
        <v>590</v>
      </c>
      <c r="U4625" s="15" t="n">
        <v>40</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I-I-0012</t>
        </is>
      </c>
      <c r="B4626" s="12" t="inlineStr">
        <is>
          <t>I</t>
        </is>
      </c>
      <c r="C4626" s="12" t="inlineStr">
        <is>
          <t>Modular / portable power</t>
        </is>
      </c>
      <c r="D4626" s="12" t="inlineStr">
        <is>
          <t>Discrete device to JB JB-Black-start genset-DI01: 20 x 1 pr (field cables)</t>
        </is>
      </c>
      <c r="E4626" s="12" t="inlineStr"/>
      <c r="F4626" s="12" t="inlineStr">
        <is>
          <t>Black-start genset (proposed; requires study)</t>
        </is>
      </c>
      <c r="G4626" s="12" t="inlineStr">
        <is>
          <t>JB-Black-start genset-DI01</t>
        </is>
      </c>
      <c r="H4626" s="12" t="inlineStr">
        <is>
          <t>Black-start genset (proposed; requires study)</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5" t="n">
        <v>59</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I-I-0013</t>
        </is>
      </c>
      <c r="B4627" s="12" t="inlineStr">
        <is>
          <t>I</t>
        </is>
      </c>
      <c r="C4627" s="12" t="inlineStr">
        <is>
          <t>Modular / portable power</t>
        </is>
      </c>
      <c r="D4627" s="12" t="inlineStr">
        <is>
          <t>Home run JB-Black-start genset-DI01 to the control / marshalling room</t>
        </is>
      </c>
      <c r="E4627" s="12" t="inlineStr"/>
      <c r="F4627" s="12" t="inlineStr">
        <is>
          <t>PCM: power control module</t>
        </is>
      </c>
      <c r="G4627" s="12" t="inlineStr">
        <is>
          <t>JB-Black-start genset-DI01</t>
        </is>
      </c>
      <c r="H4627" s="12" t="inlineStr">
        <is>
          <t>Black-start genset (proposed; requires study)</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5" t="n">
        <v>590</v>
      </c>
      <c r="U4627" s="15" t="n">
        <v>40</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I-I-0014</t>
        </is>
      </c>
      <c r="B4628" s="12" t="inlineStr">
        <is>
          <t>I</t>
        </is>
      </c>
      <c r="C4628" s="12" t="inlineStr">
        <is>
          <t>Modular / portable power</t>
        </is>
      </c>
      <c r="D4628" s="12" t="inlineStr">
        <is>
          <t>CGE-1 instrumentation</t>
        </is>
      </c>
      <c r="E4628" s="12" t="inlineStr">
        <is>
          <t>CGE-SWG</t>
        </is>
      </c>
      <c r="F4628" s="12" t="inlineStr">
        <is>
          <t>CGE-SWG: 13.8 kV switchgear container (engine breakers, site feeder)</t>
        </is>
      </c>
      <c r="G4628" s="12" t="inlineStr">
        <is>
          <t>CGE-1</t>
        </is>
      </c>
      <c r="H4628" s="12" t="inlineStr">
        <is>
          <t>CGE-1: containerized gas-engine generator ~4.4 MW, 13.8 kV (40 ft engi</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65</v>
      </c>
      <c r="U4628" s="15" t="n">
        <v>46</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I-I-0015</t>
        </is>
      </c>
      <c r="B4629" s="12" t="inlineStr">
        <is>
          <t>I</t>
        </is>
      </c>
      <c r="C4629" s="12" t="inlineStr">
        <is>
          <t>Modular / portable power</t>
        </is>
      </c>
      <c r="D4629" s="12" t="inlineStr">
        <is>
          <t>CGE-2 instrumentation</t>
        </is>
      </c>
      <c r="E4629" s="12" t="inlineStr">
        <is>
          <t>CGE-SWG</t>
        </is>
      </c>
      <c r="F4629" s="12" t="inlineStr">
        <is>
          <t>CGE-SWG: 13.8 kV switchgear container (engine breakers, site feeder)</t>
        </is>
      </c>
      <c r="G4629" s="12" t="inlineStr">
        <is>
          <t>CGE-2</t>
        </is>
      </c>
      <c r="H4629" s="12" t="inlineStr">
        <is>
          <t>CGE-2: containerized gas-engine generator ~4.4 MW, 13.8 kV (40 ft engi</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Duct bank</t>
        </is>
      </c>
      <c r="T4629" s="15" t="n">
        <v>47</v>
      </c>
      <c r="U4629" s="15" t="n">
        <v>46</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I-I-0016</t>
        </is>
      </c>
      <c r="B4630" s="12" t="inlineStr">
        <is>
          <t>I</t>
        </is>
      </c>
      <c r="C4630" s="12" t="inlineStr">
        <is>
          <t>Modular / portable power</t>
        </is>
      </c>
      <c r="D4630" s="12" t="inlineStr">
        <is>
          <t>CGE-3 instrumentation</t>
        </is>
      </c>
      <c r="E4630" s="12" t="inlineStr">
        <is>
          <t>CGE-SWG</t>
        </is>
      </c>
      <c r="F4630" s="12" t="inlineStr">
        <is>
          <t>CGE-SWG: 13.8 kV switchgear container (engine breakers, site feeder)</t>
        </is>
      </c>
      <c r="G4630" s="12" t="inlineStr">
        <is>
          <t>CGE-3</t>
        </is>
      </c>
      <c r="H4630" s="12" t="inlineStr">
        <is>
          <t>CGE-3: containerized gas-engine generator ~4.4 MW, 13.8 kV (40 ft engi</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Duct bank</t>
        </is>
      </c>
      <c r="T4630" s="15" t="n">
        <v>29</v>
      </c>
      <c r="U4630" s="15" t="n">
        <v>46</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I-I-0017</t>
        </is>
      </c>
      <c r="B4631" s="12" t="inlineStr">
        <is>
          <t>I</t>
        </is>
      </c>
      <c r="C4631" s="12" t="inlineStr">
        <is>
          <t>Modular / portable power</t>
        </is>
      </c>
      <c r="D4631" s="12" t="inlineStr">
        <is>
          <t>CGE-4 instrumentation</t>
        </is>
      </c>
      <c r="E4631" s="12" t="inlineStr">
        <is>
          <t>CGE-SWG</t>
        </is>
      </c>
      <c r="F4631" s="12" t="inlineStr">
        <is>
          <t>CGE-SWG: 13.8 kV switchgear container (engine breakers, site feeder)</t>
        </is>
      </c>
      <c r="G4631" s="12" t="inlineStr">
        <is>
          <t>CGE-4</t>
        </is>
      </c>
      <c r="H4631" s="12" t="inlineStr">
        <is>
          <t>CGE-4: containerized gas-engine generator ~4.4 MW, 13.8 kV (40 ft engi</t>
        </is>
      </c>
      <c r="I4631" s="12" t="inlineStr">
        <is>
          <t>Instrumentation</t>
        </is>
      </c>
      <c r="J4631" s="12" t="inlineStr">
        <is>
          <t>Instrumentation ITC / PLTC, IS, #18 shielded pairs, blue jacket</t>
        </is>
      </c>
      <c r="K4631" s="12" t="inlineStr">
        <is>
          <t>ITC|4 pr|18</t>
        </is>
      </c>
      <c r="L4631" s="12" t="inlineStr">
        <is>
          <t>4 pr</t>
        </is>
      </c>
      <c r="M4631" s="12" t="inlineStr">
        <is>
          <t>18</t>
        </is>
      </c>
      <c r="N4631" s="12" t="n">
        <v>1</v>
      </c>
      <c r="O4631" s="12" t="n">
        <v>1</v>
      </c>
      <c r="P4631" s="12" t="n"/>
      <c r="Q4631" s="12" t="n"/>
      <c r="R4631" s="12" t="n"/>
      <c r="S4631" s="12" t="inlineStr">
        <is>
          <t>Duct bank</t>
        </is>
      </c>
      <c r="T4631" s="15" t="n">
        <v>29</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I-I-0018</t>
        </is>
      </c>
      <c r="B4632" s="12" t="inlineStr">
        <is>
          <t>I</t>
        </is>
      </c>
      <c r="C4632" s="12" t="inlineStr">
        <is>
          <t>Modular / portable power</t>
        </is>
      </c>
      <c r="D4632" s="12" t="inlineStr">
        <is>
          <t>CGE-AUX monitoring: temperatures, gas relay, oil level</t>
        </is>
      </c>
      <c r="E4632" s="12" t="inlineStr">
        <is>
          <t>CGE-SWG</t>
        </is>
      </c>
      <c r="F4632" s="12" t="inlineStr">
        <is>
          <t>CGE-SWG: 13.8 kV switchgear container (engine breakers, site feeder)</t>
        </is>
      </c>
      <c r="G4632" s="12" t="inlineStr">
        <is>
          <t>CGE-AUX</t>
        </is>
      </c>
      <c r="H4632" s="12" t="inlineStr">
        <is>
          <t>CGE-AUX: 13.8 / 0.48 kV auxiliary transformer (cooling containers, rad</t>
        </is>
      </c>
      <c r="I4632" s="12" t="inlineStr">
        <is>
          <t>Instrumentation</t>
        </is>
      </c>
      <c r="J4632" s="12" t="inlineStr">
        <is>
          <t>Instrumentation ITC / PLTC, IS, #18 shielded pairs, blue jacket</t>
        </is>
      </c>
      <c r="K4632" s="12" t="inlineStr">
        <is>
          <t>ITC|4 pr|18</t>
        </is>
      </c>
      <c r="L4632" s="12" t="inlineStr">
        <is>
          <t>4 pr</t>
        </is>
      </c>
      <c r="M4632" s="12" t="inlineStr">
        <is>
          <t>18</t>
        </is>
      </c>
      <c r="N4632" s="12" t="n">
        <v>1</v>
      </c>
      <c r="O4632" s="12" t="n">
        <v>1</v>
      </c>
      <c r="P4632" s="12" t="n"/>
      <c r="Q4632" s="12" t="n"/>
      <c r="R4632" s="12" t="n"/>
      <c r="S4632" s="12" t="inlineStr">
        <is>
          <t>Duct bank</t>
        </is>
      </c>
      <c r="T4632" s="15" t="n">
        <v>12</v>
      </c>
      <c r="U4632" s="15" t="n">
        <v>32</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I-I-0019</t>
        </is>
      </c>
      <c r="B4633" s="12" t="inlineStr">
        <is>
          <t>I</t>
        </is>
      </c>
      <c r="C4633" s="12" t="inlineStr">
        <is>
          <t>Modular / portable power</t>
        </is>
      </c>
      <c r="D4633" s="12" t="inlineStr">
        <is>
          <t>CGE-GSU monitoring: temperatures, gas relay, oil level</t>
        </is>
      </c>
      <c r="E4633" s="12" t="inlineStr">
        <is>
          <t>CGE-SWG</t>
        </is>
      </c>
      <c r="F4633" s="12" t="inlineStr">
        <is>
          <t>CGE-SWG: 13.8 kV switchgear container (engine breakers, site feeder)</t>
        </is>
      </c>
      <c r="G4633" s="12" t="inlineStr">
        <is>
          <t>CGE-GSU</t>
        </is>
      </c>
      <c r="H4633" s="12" t="inlineStr">
        <is>
          <t>CGE-GSU: 13.8 / 34.5 kV step-up, ~20 MVA (containerized engines)</t>
        </is>
      </c>
      <c r="I4633" s="12" t="inlineStr">
        <is>
          <t>Instrumentation</t>
        </is>
      </c>
      <c r="J4633" s="12" t="inlineStr">
        <is>
          <t>Instrumentation ITC / PLTC, IS, #18 shielded pairs, blue jacket</t>
        </is>
      </c>
      <c r="K4633" s="12" t="inlineStr">
        <is>
          <t>ITC|4 pr|18</t>
        </is>
      </c>
      <c r="L4633" s="12" t="inlineStr">
        <is>
          <t>4 pr</t>
        </is>
      </c>
      <c r="M4633" s="12" t="inlineStr">
        <is>
          <t>18</t>
        </is>
      </c>
      <c r="N4633" s="12" t="n">
        <v>1</v>
      </c>
      <c r="O4633" s="12" t="n">
        <v>1</v>
      </c>
      <c r="P4633" s="12" t="n"/>
      <c r="Q4633" s="12" t="n"/>
      <c r="R4633" s="12" t="n"/>
      <c r="S4633" s="12" t="inlineStr">
        <is>
          <t>Duct bank</t>
        </is>
      </c>
      <c r="T4633" s="15" t="n">
        <v>10</v>
      </c>
      <c r="U4633" s="15" t="n">
        <v>32</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I-I-0020</t>
        </is>
      </c>
      <c r="B4634" s="12" t="inlineStr">
        <is>
          <t>I</t>
        </is>
      </c>
      <c r="C4634" s="12" t="inlineStr">
        <is>
          <t>Modular / portable power</t>
        </is>
      </c>
      <c r="D4634" s="12" t="inlineStr">
        <is>
          <t>CHP-1 instrumentation (incl. heat-recovery temperatures)</t>
        </is>
      </c>
      <c r="E4634" s="12" t="inlineStr">
        <is>
          <t>CHP-SWG</t>
        </is>
      </c>
      <c r="F4634" s="12" t="inlineStr">
        <is>
          <t>CHP-SWG: 13.8 kV switchgear container (4 engine breakers, site feeder)</t>
        </is>
      </c>
      <c r="G4634" s="12" t="inlineStr">
        <is>
          <t>CHP-1</t>
        </is>
      </c>
      <c r="H4634" s="12" t="inlineStr">
        <is>
          <t>CHP-1: gas-engine generator ~2.5 MW with exhaust heat recovery, 13.8 k</t>
        </is>
      </c>
      <c r="I4634" s="12" t="inlineStr">
        <is>
          <t>Instrumentation</t>
        </is>
      </c>
      <c r="J4634" s="12" t="inlineStr">
        <is>
          <t>Instrumentation ITC / PLTC, IS, #18 shielded pairs, blue jacket</t>
        </is>
      </c>
      <c r="K4634" s="12" t="inlineStr">
        <is>
          <t>ITC|4 pr|18</t>
        </is>
      </c>
      <c r="L4634" s="12" t="inlineStr">
        <is>
          <t>4 pr</t>
        </is>
      </c>
      <c r="M4634" s="12" t="inlineStr">
        <is>
          <t>18</t>
        </is>
      </c>
      <c r="N4634" s="12" t="n">
        <v>1</v>
      </c>
      <c r="O4634" s="12" t="n">
        <v>1</v>
      </c>
      <c r="P4634" s="12" t="n"/>
      <c r="Q4634" s="12" t="n"/>
      <c r="R4634" s="12" t="n"/>
      <c r="S4634" s="12" t="inlineStr">
        <is>
          <t>Duct bank</t>
        </is>
      </c>
      <c r="T4634" s="15" t="n">
        <v>58</v>
      </c>
      <c r="U4634" s="15" t="n">
        <v>46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I-I-0021</t>
        </is>
      </c>
      <c r="B4635" s="12" t="inlineStr">
        <is>
          <t>I</t>
        </is>
      </c>
      <c r="C4635" s="12" t="inlineStr">
        <is>
          <t>Modular / portable power</t>
        </is>
      </c>
      <c r="D4635" s="12" t="inlineStr">
        <is>
          <t>CHP-2 instrumentation (incl. heat-recovery temperatures)</t>
        </is>
      </c>
      <c r="E4635" s="12" t="inlineStr">
        <is>
          <t>CHP-SWG</t>
        </is>
      </c>
      <c r="F4635" s="12" t="inlineStr">
        <is>
          <t>CHP-SWG: 13.8 kV switchgear container (4 engine breakers, site feeder)</t>
        </is>
      </c>
      <c r="G4635" s="12" t="inlineStr">
        <is>
          <t>CHP-2</t>
        </is>
      </c>
      <c r="H4635" s="12" t="inlineStr">
        <is>
          <t>CHP-2: gas-engine generator ~2.5 MW with exhaust heat recovery, 13.8 k</t>
        </is>
      </c>
      <c r="I4635" s="12" t="inlineStr">
        <is>
          <t>Instrumentation</t>
        </is>
      </c>
      <c r="J4635" s="12" t="inlineStr">
        <is>
          <t>Instrumentation ITC / PLTC, IS, #18 shielded pairs, blue jacket</t>
        </is>
      </c>
      <c r="K4635" s="12" t="inlineStr">
        <is>
          <t>ITC|4 pr|18</t>
        </is>
      </c>
      <c r="L4635" s="12" t="inlineStr">
        <is>
          <t>4 pr</t>
        </is>
      </c>
      <c r="M4635" s="12" t="inlineStr">
        <is>
          <t>18</t>
        </is>
      </c>
      <c r="N4635" s="12" t="n">
        <v>1</v>
      </c>
      <c r="O4635" s="12" t="n">
        <v>1</v>
      </c>
      <c r="P4635" s="12" t="n"/>
      <c r="Q4635" s="12" t="n"/>
      <c r="R4635" s="12" t="n"/>
      <c r="S4635" s="12" t="inlineStr">
        <is>
          <t>Duct bank</t>
        </is>
      </c>
      <c r="T4635" s="15" t="n">
        <v>58</v>
      </c>
      <c r="U4635" s="15" t="n">
        <v>32</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I-I-0022</t>
        </is>
      </c>
      <c r="B4636" s="12" t="inlineStr">
        <is>
          <t>I</t>
        </is>
      </c>
      <c r="C4636" s="12" t="inlineStr">
        <is>
          <t>Modular / portable power</t>
        </is>
      </c>
      <c r="D4636" s="12" t="inlineStr">
        <is>
          <t>CHP-3 instrumentation (incl. heat-recovery temperatures)</t>
        </is>
      </c>
      <c r="E4636" s="12" t="inlineStr">
        <is>
          <t>CHP-SWG</t>
        </is>
      </c>
      <c r="F4636" s="12" t="inlineStr">
        <is>
          <t>CHP-SWG: 13.8 kV switchgear container (4 engine breakers, site feeder)</t>
        </is>
      </c>
      <c r="G4636" s="12" t="inlineStr">
        <is>
          <t>CHP-3</t>
        </is>
      </c>
      <c r="H4636" s="12" t="inlineStr">
        <is>
          <t>CHP-3: gas-engine generator ~2.5 MW with exhaust heat recovery, 13.8 k</t>
        </is>
      </c>
      <c r="I4636" s="12" t="inlineStr">
        <is>
          <t>Instrumentation</t>
        </is>
      </c>
      <c r="J4636" s="12" t="inlineStr">
        <is>
          <t>Instrumentation ITC / PLTC, IS, #18 shielded pairs, blue jacket</t>
        </is>
      </c>
      <c r="K4636" s="12" t="inlineStr">
        <is>
          <t>ITC|4 pr|18</t>
        </is>
      </c>
      <c r="L4636" s="12" t="inlineStr">
        <is>
          <t>4 pr</t>
        </is>
      </c>
      <c r="M4636" s="12" t="inlineStr">
        <is>
          <t>18</t>
        </is>
      </c>
      <c r="N4636" s="12" t="n">
        <v>1</v>
      </c>
      <c r="O4636" s="12" t="n">
        <v>1</v>
      </c>
      <c r="P4636" s="12" t="n"/>
      <c r="Q4636" s="12" t="n"/>
      <c r="R4636" s="12" t="n"/>
      <c r="S4636" s="12" t="inlineStr">
        <is>
          <t>Duct bank</t>
        </is>
      </c>
      <c r="T4636" s="15" t="n">
        <v>33</v>
      </c>
      <c r="U4636" s="15" t="n">
        <v>33</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I-I-0023</t>
        </is>
      </c>
      <c r="B4637" s="12" t="inlineStr">
        <is>
          <t>I</t>
        </is>
      </c>
      <c r="C4637" s="12" t="inlineStr">
        <is>
          <t>Modular / portable power</t>
        </is>
      </c>
      <c r="D4637" s="12" t="inlineStr">
        <is>
          <t>CHP-4 instrumentation (incl. heat-recovery temperatures)</t>
        </is>
      </c>
      <c r="E4637" s="12" t="inlineStr">
        <is>
          <t>CHP-SWG</t>
        </is>
      </c>
      <c r="F4637" s="12" t="inlineStr">
        <is>
          <t>CHP-SWG: 13.8 kV switchgear container (4 engine breakers, site feeder)</t>
        </is>
      </c>
      <c r="G4637" s="12" t="inlineStr">
        <is>
          <t>CHP-4</t>
        </is>
      </c>
      <c r="H4637" s="12" t="inlineStr">
        <is>
          <t>CHP-4: gas-engine generator ~2.5 MW with exhaust heat recovery, 13.8 k</t>
        </is>
      </c>
      <c r="I4637" s="12" t="inlineStr">
        <is>
          <t>Instrumentation</t>
        </is>
      </c>
      <c r="J4637" s="12" t="inlineStr">
        <is>
          <t>Instrumentation ITC / PLTC, IS, #18 shielded pairs, blue jacket</t>
        </is>
      </c>
      <c r="K4637" s="12" t="inlineStr">
        <is>
          <t>ITC|4 pr|18</t>
        </is>
      </c>
      <c r="L4637" s="12" t="inlineStr">
        <is>
          <t>4 pr</t>
        </is>
      </c>
      <c r="M4637" s="12" t="inlineStr">
        <is>
          <t>18</t>
        </is>
      </c>
      <c r="N4637" s="12" t="n">
        <v>1</v>
      </c>
      <c r="O4637" s="12" t="n">
        <v>1</v>
      </c>
      <c r="P4637" s="12" t="n"/>
      <c r="Q4637" s="12" t="n"/>
      <c r="R4637" s="12" t="n"/>
      <c r="S4637" s="12" t="inlineStr">
        <is>
          <t>Duct bank</t>
        </is>
      </c>
      <c r="T4637" s="15" t="n">
        <v>20</v>
      </c>
      <c r="U4637" s="15" t="n">
        <v>32</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I-I-0024</t>
        </is>
      </c>
      <c r="B4638" s="12" t="inlineStr">
        <is>
          <t>I</t>
        </is>
      </c>
      <c r="C4638" s="12" t="inlineStr">
        <is>
          <t>Modular / portable power</t>
        </is>
      </c>
      <c r="D4638" s="12" t="inlineStr">
        <is>
          <t>CHP-AUX monitoring: temperatures, gas relay, oil level</t>
        </is>
      </c>
      <c r="E4638" s="12" t="inlineStr">
        <is>
          <t>CHP-SWG</t>
        </is>
      </c>
      <c r="F4638" s="12" t="inlineStr">
        <is>
          <t>CHP-SWG: 13.8 kV switchgear container (4 engine breakers, site feeder)</t>
        </is>
      </c>
      <c r="G4638" s="12" t="inlineStr">
        <is>
          <t>CHP-AUX</t>
        </is>
      </c>
      <c r="H4638" s="12" t="inlineStr">
        <is>
          <t>CHP-AUX: 13.8 / 0.48 kV, 750 kVA auxiliary pad-mount (engine auxiliari</t>
        </is>
      </c>
      <c r="I4638" s="12" t="inlineStr">
        <is>
          <t>Instrumentation</t>
        </is>
      </c>
      <c r="J4638" s="12" t="inlineStr">
        <is>
          <t>Instrumentation ITC / PLTC, IS, #18 shielded pairs, blue jacket</t>
        </is>
      </c>
      <c r="K4638" s="12" t="inlineStr">
        <is>
          <t>ITC|4 pr|18</t>
        </is>
      </c>
      <c r="L4638" s="12" t="inlineStr">
        <is>
          <t>4 pr</t>
        </is>
      </c>
      <c r="M4638" s="12" t="inlineStr">
        <is>
          <t>18</t>
        </is>
      </c>
      <c r="N4638" s="12" t="n">
        <v>1</v>
      </c>
      <c r="O4638" s="12" t="n">
        <v>1</v>
      </c>
      <c r="P4638" s="12" t="n"/>
      <c r="Q4638" s="12" t="n"/>
      <c r="R4638" s="12" t="n"/>
      <c r="S4638" s="12" t="inlineStr">
        <is>
          <t>Duct bank</t>
        </is>
      </c>
      <c r="T4638" s="15" t="n">
        <v>4</v>
      </c>
      <c r="U4638" s="15" t="n">
        <v>32</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I-I-0025</t>
        </is>
      </c>
      <c r="B4639" s="12" t="inlineStr">
        <is>
          <t>I</t>
        </is>
      </c>
      <c r="C4639" s="12" t="inlineStr">
        <is>
          <t>Modular / portable power</t>
        </is>
      </c>
      <c r="D4639" s="12" t="inlineStr">
        <is>
          <t>CHP-HR heat-recovery instrumentation (flows, temperatures, valves)</t>
        </is>
      </c>
      <c r="E4639" s="12" t="inlineStr">
        <is>
          <t>CHP-SWG</t>
        </is>
      </c>
      <c r="F4639" s="12" t="inlineStr">
        <is>
          <t>CHP-SWG: 13.8 kV switchgear container (4 engine breakers, site feeder)</t>
        </is>
      </c>
      <c r="G4639" s="12" t="inlineStr">
        <is>
          <t>CHP-HR</t>
        </is>
      </c>
      <c r="H4639" s="12" t="inlineStr">
        <is>
          <t>CHP-HR: exhaust heat-recovery rack (4 exhaust heat exchangers and stac</t>
        </is>
      </c>
      <c r="I4639" s="12" t="inlineStr">
        <is>
          <t>Instrumentation</t>
        </is>
      </c>
      <c r="J4639" s="12" t="inlineStr">
        <is>
          <t>Instrumentation ITC / PLTC, IS, #18 shielded pairs, blue jacket</t>
        </is>
      </c>
      <c r="K4639" s="12" t="inlineStr">
        <is>
          <t>ITC|4 pr|18</t>
        </is>
      </c>
      <c r="L4639" s="12" t="inlineStr">
        <is>
          <t>4 pr</t>
        </is>
      </c>
      <c r="M4639" s="12" t="inlineStr">
        <is>
          <t>18</t>
        </is>
      </c>
      <c r="N4639" s="12" t="n">
        <v>1</v>
      </c>
      <c r="O4639" s="12" t="n">
        <v>1</v>
      </c>
      <c r="P4639" s="12" t="n"/>
      <c r="Q4639" s="12" t="n"/>
      <c r="R4639" s="12" t="n"/>
      <c r="S4639" s="12" t="inlineStr">
        <is>
          <t>Duct bank</t>
        </is>
      </c>
      <c r="T4639" s="15" t="n">
        <v>40</v>
      </c>
      <c r="U4639" s="15" t="n">
        <v>32</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I-I-0026</t>
        </is>
      </c>
      <c r="B4640" s="12" t="inlineStr">
        <is>
          <t>I</t>
        </is>
      </c>
      <c r="C4640" s="12" t="inlineStr">
        <is>
          <t>Modular / portable power</t>
        </is>
      </c>
      <c r="D4640" s="12" t="inlineStr">
        <is>
          <t>Instrumentation</t>
        </is>
      </c>
      <c r="E4640" s="12" t="inlineStr"/>
      <c r="F4640" s="12" t="inlineStr">
        <is>
          <t>PCM: power control module</t>
        </is>
      </c>
      <c r="G4640" s="12" t="inlineStr"/>
      <c r="H4640" s="12" t="inlineStr">
        <is>
          <t>CONDITIONAL: BESS black-start alternative</t>
        </is>
      </c>
      <c r="I4640" s="12" t="inlineStr">
        <is>
          <t>Instrumentation</t>
        </is>
      </c>
      <c r="J4640" s="12" t="inlineStr">
        <is>
          <t>Instrumentation PLTC / TC-ER 300 V, #18 twisted shielded pairs, overall shield</t>
        </is>
      </c>
      <c r="K4640" s="12" t="inlineStr">
        <is>
          <t>PLTC|4 pr|18</t>
        </is>
      </c>
      <c r="L4640" s="12" t="inlineStr">
        <is>
          <t>4 pr</t>
        </is>
      </c>
      <c r="M4640" s="12" t="inlineStr">
        <is>
          <t>18</t>
        </is>
      </c>
      <c r="N4640" s="12" t="n">
        <v>1</v>
      </c>
      <c r="O4640" s="12" t="n">
        <v>1</v>
      </c>
      <c r="P4640" s="12" t="n"/>
      <c r="Q4640" s="12" t="n"/>
      <c r="R4640" s="12" t="n"/>
      <c r="S4640" s="12" t="inlineStr">
        <is>
          <t>Duct bank</t>
        </is>
      </c>
      <c r="T4640" s="15" t="n">
        <v>516</v>
      </c>
      <c r="U4640" s="15" t="n">
        <v>32</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I-I-0027</t>
        </is>
      </c>
      <c r="B4641" s="12" t="inlineStr">
        <is>
          <t>I</t>
        </is>
      </c>
      <c r="C4641" s="12" t="inlineStr">
        <is>
          <t>Modular / portable power</t>
        </is>
      </c>
      <c r="D4641" s="12" t="inlineStr">
        <is>
          <t>Thermocouples</t>
        </is>
      </c>
      <c r="E4641" s="12" t="inlineStr"/>
      <c r="F4641" s="12" t="inlineStr">
        <is>
          <t>PCM: power control module</t>
        </is>
      </c>
      <c r="G4641" s="12" t="inlineStr"/>
      <c r="H4641" s="12" t="inlineStr">
        <is>
          <t>CONDITIONAL: BESS black-start alternative</t>
        </is>
      </c>
      <c r="I4641" s="12" t="inlineStr">
        <is>
          <t>Instrumentation</t>
        </is>
      </c>
      <c r="J4641" s="12" t="inlineStr">
        <is>
          <t>Thermocouple extension KX, #16 shielded pairs, PLTC</t>
        </is>
      </c>
      <c r="K4641" s="12" t="inlineStr">
        <is>
          <t>TCX|12 pr|16</t>
        </is>
      </c>
      <c r="L4641" s="12" t="inlineStr">
        <is>
          <t>12 pr</t>
        </is>
      </c>
      <c r="M4641" s="12" t="inlineStr">
        <is>
          <t>16</t>
        </is>
      </c>
      <c r="N4641" s="12" t="n">
        <v>1</v>
      </c>
      <c r="O4641" s="12" t="n">
        <v>1</v>
      </c>
      <c r="P4641" s="12" t="n"/>
      <c r="Q4641" s="12" t="n"/>
      <c r="R4641" s="12" t="n"/>
      <c r="S4641" s="12" t="inlineStr">
        <is>
          <t>Duct bank</t>
        </is>
      </c>
      <c r="T4641" s="15" t="n">
        <v>516</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I-I-0028</t>
        </is>
      </c>
      <c r="B4642" s="12" t="inlineStr">
        <is>
          <t>I</t>
        </is>
      </c>
      <c r="C4642" s="12" t="inlineStr">
        <is>
          <t>Modular / portable power</t>
        </is>
      </c>
      <c r="D4642" s="12" t="inlineStr">
        <is>
          <t>Thermocouples</t>
        </is>
      </c>
      <c r="E4642" s="12" t="inlineStr"/>
      <c r="F4642" s="12" t="inlineStr">
        <is>
          <t>PCM: power control module</t>
        </is>
      </c>
      <c r="G4642" s="12" t="inlineStr"/>
      <c r="H4642" s="12" t="inlineStr">
        <is>
          <t>CONDITIONAL: BESS black-start alternative</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Duct bank</t>
        </is>
      </c>
      <c r="T4642" s="15" t="n">
        <v>516</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I-I-0029</t>
        </is>
      </c>
      <c r="B4643" s="12" t="inlineStr">
        <is>
          <t>I</t>
        </is>
      </c>
      <c r="C4643" s="12" t="inlineStr">
        <is>
          <t>Modular / portable power</t>
        </is>
      </c>
      <c r="D4643" s="12" t="inlineStr">
        <is>
          <t>Instrumentation</t>
        </is>
      </c>
      <c r="E4643" s="12" t="inlineStr"/>
      <c r="F4643" s="12" t="inlineStr">
        <is>
          <t>SC-1 PCM + 15 kV GCB</t>
        </is>
      </c>
      <c r="G4643" s="12" t="inlineStr"/>
      <c r="H4643" s="12" t="inlineStr">
        <is>
          <t>CONDITIONAL: SC-1 inlet chiller / evaporative cooler</t>
        </is>
      </c>
      <c r="I4643" s="12" t="inlineStr">
        <is>
          <t>Instrumentation</t>
        </is>
      </c>
      <c r="J4643" s="12" t="inlineStr">
        <is>
          <t>Instrumentation PLTC / TC-ER 300 V, #18 twisted shielded pairs, overall shield</t>
        </is>
      </c>
      <c r="K4643" s="12" t="inlineStr">
        <is>
          <t>PLTC|4 pr|18</t>
        </is>
      </c>
      <c r="L4643" s="12" t="inlineStr">
        <is>
          <t>4 pr</t>
        </is>
      </c>
      <c r="M4643" s="12" t="inlineStr">
        <is>
          <t>18</t>
        </is>
      </c>
      <c r="N4643" s="12" t="n">
        <v>1</v>
      </c>
      <c r="O4643" s="12" t="n">
        <v>1</v>
      </c>
      <c r="P4643" s="12" t="n"/>
      <c r="Q4643" s="12" t="n"/>
      <c r="R4643" s="12" t="n"/>
      <c r="S4643" s="12" t="inlineStr">
        <is>
          <t>Duct bank</t>
        </is>
      </c>
      <c r="T4643" s="15" t="n">
        <v>270</v>
      </c>
      <c r="U4643" s="15" t="n">
        <v>78</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I-I-0030</t>
        </is>
      </c>
      <c r="B4644" s="12" t="inlineStr">
        <is>
          <t>I</t>
        </is>
      </c>
      <c r="C4644" s="12" t="inlineStr">
        <is>
          <t>Modular / portable power</t>
        </is>
      </c>
      <c r="D4644" s="12" t="inlineStr">
        <is>
          <t>Thermocouples</t>
        </is>
      </c>
      <c r="E4644" s="12" t="inlineStr"/>
      <c r="F4644" s="12" t="inlineStr">
        <is>
          <t>SC-1 PCM + 15 kV GCB</t>
        </is>
      </c>
      <c r="G4644" s="12" t="inlineStr"/>
      <c r="H4644" s="12" t="inlineStr">
        <is>
          <t>CONDITIONAL: SC-1 inlet chiller / evaporative cooler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Duct bank</t>
        </is>
      </c>
      <c r="T4644" s="15" t="n">
        <v>270</v>
      </c>
      <c r="U4644" s="15" t="n">
        <v>78</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I-I-0031</t>
        </is>
      </c>
      <c r="B4645" s="12" t="inlineStr">
        <is>
          <t>I</t>
        </is>
      </c>
      <c r="C4645" s="12" t="inlineStr">
        <is>
          <t>Modular / portable power</t>
        </is>
      </c>
      <c r="D4645" s="12" t="inlineStr">
        <is>
          <t>Thermocouples</t>
        </is>
      </c>
      <c r="E4645" s="12" t="inlineStr"/>
      <c r="F4645" s="12" t="inlineStr">
        <is>
          <t>SC-1 PCM + 15 kV GCB</t>
        </is>
      </c>
      <c r="G4645" s="12" t="inlineStr"/>
      <c r="H4645" s="12" t="inlineStr">
        <is>
          <t>CONDITIONAL: SC-1 inlet chiller / evaporative cooler</t>
        </is>
      </c>
      <c r="I4645" s="12" t="inlineStr">
        <is>
          <t>Instrumentation</t>
        </is>
      </c>
      <c r="J4645" s="12" t="inlineStr">
        <is>
          <t>Thermocouple extension KX, #16 shielded pairs, PLTC</t>
        </is>
      </c>
      <c r="K4645" s="12" t="inlineStr">
        <is>
          <t>TCX|12 pr|16</t>
        </is>
      </c>
      <c r="L4645" s="12" t="inlineStr">
        <is>
          <t>12 pr</t>
        </is>
      </c>
      <c r="M4645" s="12" t="inlineStr">
        <is>
          <t>16</t>
        </is>
      </c>
      <c r="N4645" s="12" t="n">
        <v>1</v>
      </c>
      <c r="O4645" s="12" t="n">
        <v>1</v>
      </c>
      <c r="P4645" s="12" t="n"/>
      <c r="Q4645" s="12" t="n"/>
      <c r="R4645" s="12" t="n"/>
      <c r="S4645" s="12" t="inlineStr">
        <is>
          <t>Duct bank</t>
        </is>
      </c>
      <c r="T4645" s="15" t="n">
        <v>270</v>
      </c>
      <c r="U4645" s="15" t="n">
        <v>78</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I-I-0032</t>
        </is>
      </c>
      <c r="B4646" s="12" t="inlineStr">
        <is>
          <t>I</t>
        </is>
      </c>
      <c r="C4646" s="12" t="inlineStr">
        <is>
          <t>Modular / portable power</t>
        </is>
      </c>
      <c r="D4646" s="12" t="inlineStr">
        <is>
          <t>Instrumentation</t>
        </is>
      </c>
      <c r="E4646" s="12" t="inlineStr"/>
      <c r="F4646" s="12" t="inlineStr">
        <is>
          <t>SC-2 PCM + 15 kV GCB</t>
        </is>
      </c>
      <c r="G4646" s="12" t="inlineStr"/>
      <c r="H4646" s="12" t="inlineStr">
        <is>
          <t>CONDITIONAL: SC-2 inlet chiller / evaporative cooler</t>
        </is>
      </c>
      <c r="I4646" s="12" t="inlineStr">
        <is>
          <t>Instrumentation</t>
        </is>
      </c>
      <c r="J4646" s="12" t="inlineStr">
        <is>
          <t>Instrumentation PLTC / TC-ER 300 V, #18 twisted shielded pairs, overall shield</t>
        </is>
      </c>
      <c r="K4646" s="12" t="inlineStr">
        <is>
          <t>PLTC|4 pr|18</t>
        </is>
      </c>
      <c r="L4646" s="12" t="inlineStr">
        <is>
          <t>4 pr</t>
        </is>
      </c>
      <c r="M4646" s="12" t="inlineStr">
        <is>
          <t>18</t>
        </is>
      </c>
      <c r="N4646" s="12" t="n">
        <v>1</v>
      </c>
      <c r="O4646" s="12" t="n">
        <v>1</v>
      </c>
      <c r="P4646" s="12" t="n"/>
      <c r="Q4646" s="12" t="n"/>
      <c r="R4646" s="12" t="n"/>
      <c r="S4646" s="12" t="inlineStr">
        <is>
          <t>Duct bank</t>
        </is>
      </c>
      <c r="T4646" s="15" t="n">
        <v>10</v>
      </c>
      <c r="U4646" s="15" t="n">
        <v>106</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I-I-0033</t>
        </is>
      </c>
      <c r="B4647" s="12" t="inlineStr">
        <is>
          <t>I</t>
        </is>
      </c>
      <c r="C4647" s="12" t="inlineStr">
        <is>
          <t>Modular / portable power</t>
        </is>
      </c>
      <c r="D4647" s="12" t="inlineStr">
        <is>
          <t>Thermocouples</t>
        </is>
      </c>
      <c r="E4647" s="12" t="inlineStr"/>
      <c r="F4647" s="12" t="inlineStr">
        <is>
          <t>SC-2 PCM + 15 kV GCB</t>
        </is>
      </c>
      <c r="G4647" s="12" t="inlineStr"/>
      <c r="H4647" s="12" t="inlineStr">
        <is>
          <t>CONDITIONAL: SC-2 inlet chiller / evaporative cooler</t>
        </is>
      </c>
      <c r="I4647" s="12" t="inlineStr">
        <is>
          <t>Instrumentation</t>
        </is>
      </c>
      <c r="J4647" s="12" t="inlineStr">
        <is>
          <t>Thermocouple extension KX, #16 shielded pairs, PLTC</t>
        </is>
      </c>
      <c r="K4647" s="12" t="inlineStr">
        <is>
          <t>TCX|12 pr|16</t>
        </is>
      </c>
      <c r="L4647" s="12" t="inlineStr">
        <is>
          <t>12 pr</t>
        </is>
      </c>
      <c r="M4647" s="12" t="inlineStr">
        <is>
          <t>16</t>
        </is>
      </c>
      <c r="N4647" s="12" t="n">
        <v>1</v>
      </c>
      <c r="O4647" s="12" t="n">
        <v>1</v>
      </c>
      <c r="P4647" s="12" t="n"/>
      <c r="Q4647" s="12" t="n"/>
      <c r="R4647" s="12" t="n"/>
      <c r="S4647" s="12" t="inlineStr">
        <is>
          <t>Duct bank</t>
        </is>
      </c>
      <c r="T4647" s="15" t="n">
        <v>10</v>
      </c>
      <c r="U4647" s="15" t="n">
        <v>106</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I-I-0034</t>
        </is>
      </c>
      <c r="B4648" s="12" t="inlineStr">
        <is>
          <t>I</t>
        </is>
      </c>
      <c r="C4648" s="12" t="inlineStr">
        <is>
          <t>Modular / portable power</t>
        </is>
      </c>
      <c r="D4648" s="12" t="inlineStr">
        <is>
          <t>Thermocouples</t>
        </is>
      </c>
      <c r="E4648" s="12" t="inlineStr"/>
      <c r="F4648" s="12" t="inlineStr">
        <is>
          <t>SC-2 PCM + 15 kV GCB</t>
        </is>
      </c>
      <c r="G4648" s="12" t="inlineStr"/>
      <c r="H4648" s="12" t="inlineStr">
        <is>
          <t>CONDITIONAL: SC-2 inlet chiller / evaporative cooler</t>
        </is>
      </c>
      <c r="I4648" s="12" t="inlineStr">
        <is>
          <t>Instrumentation</t>
        </is>
      </c>
      <c r="J4648" s="12" t="inlineStr">
        <is>
          <t>Thermocouple extension KX, #16 shielded pairs, PLTC</t>
        </is>
      </c>
      <c r="K4648" s="12" t="inlineStr">
        <is>
          <t>TCX|12 pr|16</t>
        </is>
      </c>
      <c r="L4648" s="12" t="inlineStr">
        <is>
          <t>12 pr</t>
        </is>
      </c>
      <c r="M4648" s="12" t="inlineStr">
        <is>
          <t>16</t>
        </is>
      </c>
      <c r="N4648" s="12" t="n">
        <v>1</v>
      </c>
      <c r="O4648" s="12" t="n">
        <v>1</v>
      </c>
      <c r="P4648" s="12" t="n"/>
      <c r="Q4648" s="12" t="n"/>
      <c r="R4648" s="12" t="n"/>
      <c r="S4648" s="12" t="inlineStr">
        <is>
          <t>Duct bank</t>
        </is>
      </c>
      <c r="T4648" s="15" t="n">
        <v>10</v>
      </c>
      <c r="U4648" s="15" t="n">
        <v>106</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I-I-0035</t>
        </is>
      </c>
      <c r="B4649" s="12" t="inlineStr">
        <is>
          <t>I</t>
        </is>
      </c>
      <c r="C4649" s="12" t="inlineStr">
        <is>
          <t>Modular / portable power</t>
        </is>
      </c>
      <c r="D4649" s="12" t="inlineStr">
        <is>
          <t>Analog instrument to JB JB-Demin tank + trail-AI01: 4 x 1 pr (field cables)</t>
        </is>
      </c>
      <c r="E4649" s="12" t="inlineStr"/>
      <c r="F4649" s="12" t="inlineStr">
        <is>
          <t>Demin tank + trailer pad</t>
        </is>
      </c>
      <c r="G4649" s="12" t="inlineStr">
        <is>
          <t>JB-Demin tank + trail-AI01</t>
        </is>
      </c>
      <c r="H4649" s="12" t="inlineStr">
        <is>
          <t>Demin tank + trailer pad</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4</v>
      </c>
      <c r="O4649" s="12" t="n">
        <v>1</v>
      </c>
      <c r="P4649" s="12" t="n"/>
      <c r="Q4649" s="12" t="n"/>
      <c r="R4649" s="12" t="n"/>
      <c r="S4649" s="12" t="inlineStr">
        <is>
          <t>Tray / conduit</t>
        </is>
      </c>
      <c r="T4649" s="15" t="n">
        <v>78</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I-I-0036</t>
        </is>
      </c>
      <c r="B4650" s="12" t="inlineStr">
        <is>
          <t>I</t>
        </is>
      </c>
      <c r="C4650" s="12" t="inlineStr">
        <is>
          <t>Modular / portable power</t>
        </is>
      </c>
      <c r="D4650" s="12" t="inlineStr">
        <is>
          <t>Home run JB-Demin tank + trail-AI01 to the control / marshalling room</t>
        </is>
      </c>
      <c r="E4650" s="12" t="inlineStr"/>
      <c r="F4650" s="12" t="inlineStr">
        <is>
          <t>SC-2 PCM + 15 kV GCB</t>
        </is>
      </c>
      <c r="G4650" s="12" t="inlineStr">
        <is>
          <t>JB-Demin tank + trail-AI01</t>
        </is>
      </c>
      <c r="H4650" s="12" t="inlineStr">
        <is>
          <t>Demin tank + trailer pad</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Duct bank</t>
        </is>
      </c>
      <c r="T4650" s="15" t="n">
        <v>8</v>
      </c>
      <c r="U4650" s="15" t="n">
        <v>64</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I-I-0037</t>
        </is>
      </c>
      <c r="B4651" s="12" t="inlineStr">
        <is>
          <t>I</t>
        </is>
      </c>
      <c r="C4651" s="12" t="inlineStr">
        <is>
          <t>Modular / portable power</t>
        </is>
      </c>
      <c r="D4651" s="12" t="inlineStr">
        <is>
          <t>Discrete device to JB JB-Demin tank + trail-DI01: 4 x 1 pr (field cables)</t>
        </is>
      </c>
      <c r="E4651" s="12" t="inlineStr"/>
      <c r="F4651" s="12" t="inlineStr">
        <is>
          <t>Demin tank + trailer pad</t>
        </is>
      </c>
      <c r="G4651" s="12" t="inlineStr">
        <is>
          <t>JB-Demin tank + trail-DI01</t>
        </is>
      </c>
      <c r="H4651" s="12" t="inlineStr">
        <is>
          <t>Demin tank + trailer pad</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4</v>
      </c>
      <c r="O4651" s="12" t="n">
        <v>1</v>
      </c>
      <c r="P4651" s="12" t="n"/>
      <c r="Q4651" s="12" t="n"/>
      <c r="R4651" s="12" t="n"/>
      <c r="S4651" s="12" t="inlineStr">
        <is>
          <t>Tray / conduit</t>
        </is>
      </c>
      <c r="T4651" s="15" t="n">
        <v>78</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I-I-0038</t>
        </is>
      </c>
      <c r="B4652" s="12" t="inlineStr">
        <is>
          <t>I</t>
        </is>
      </c>
      <c r="C4652" s="12" t="inlineStr">
        <is>
          <t>Modular / portable power</t>
        </is>
      </c>
      <c r="D4652" s="12" t="inlineStr">
        <is>
          <t>Home run JB-Demin tank + trail-DI01 to the control / marshalling room</t>
        </is>
      </c>
      <c r="E4652" s="12" t="inlineStr"/>
      <c r="F4652" s="12" t="inlineStr">
        <is>
          <t>SC-2 PCM + 15 kV GCB</t>
        </is>
      </c>
      <c r="G4652" s="12" t="inlineStr">
        <is>
          <t>JB-Demin tank + trail-DI01</t>
        </is>
      </c>
      <c r="H4652" s="12" t="inlineStr">
        <is>
          <t>Demin tank + trailer pad</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Duct bank</t>
        </is>
      </c>
      <c r="T4652" s="15" t="n">
        <v>8</v>
      </c>
      <c r="U4652" s="15" t="n">
        <v>64</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I-I-0039</t>
        </is>
      </c>
      <c r="B4653" s="12" t="inlineStr">
        <is>
          <t>I</t>
        </is>
      </c>
      <c r="C4653" s="12" t="inlineStr">
        <is>
          <t>Modular / portable power</t>
        </is>
      </c>
      <c r="D4653" s="12" t="inlineStr">
        <is>
          <t>Instrumentation</t>
        </is>
      </c>
      <c r="E4653" s="12" t="inlineStr">
        <is>
          <t>PAD-EH</t>
        </is>
      </c>
      <c r="F4653" s="12" t="inlineStr">
        <is>
          <t>PAD-EH 13.8 kV switchgear e-house</t>
        </is>
      </c>
      <c r="G4653" s="12" t="inlineStr"/>
      <c r="H4653" s="12" t="inlineStr">
        <is>
          <t>FC-5..8 inverter / AC cabinet / desulfurizer</t>
        </is>
      </c>
      <c r="I4653" s="12" t="inlineStr">
        <is>
          <t>Instrumentation</t>
        </is>
      </c>
      <c r="J4653" s="12" t="inlineStr">
        <is>
          <t>Instrumentation PLTC / TC-ER 300 V, #18 twisted shielded pairs, overall shield</t>
        </is>
      </c>
      <c r="K4653" s="12" t="inlineStr">
        <is>
          <t>PLTC|4 pr|18</t>
        </is>
      </c>
      <c r="L4653" s="12" t="inlineStr">
        <is>
          <t>4 pr</t>
        </is>
      </c>
      <c r="M4653" s="12" t="inlineStr">
        <is>
          <t>18</t>
        </is>
      </c>
      <c r="N4653" s="12" t="n">
        <v>1</v>
      </c>
      <c r="O4653" s="12" t="n">
        <v>1</v>
      </c>
      <c r="P4653" s="12" t="n"/>
      <c r="Q4653" s="12" t="n"/>
      <c r="R4653" s="12" t="n"/>
      <c r="S4653" s="12" t="inlineStr">
        <is>
          <t>Surface</t>
        </is>
      </c>
      <c r="T4653" s="15" t="n">
        <v>198</v>
      </c>
      <c r="U4653" s="15" t="n">
        <v>32</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I-I-0040</t>
        </is>
      </c>
      <c r="B4654" s="12" t="inlineStr">
        <is>
          <t>I</t>
        </is>
      </c>
      <c r="C4654" s="12" t="inlineStr">
        <is>
          <t>Modular / portable power</t>
        </is>
      </c>
      <c r="D4654" s="12" t="inlineStr">
        <is>
          <t>Thermocouples</t>
        </is>
      </c>
      <c r="E4654" s="12" t="inlineStr">
        <is>
          <t>PAD-EH</t>
        </is>
      </c>
      <c r="F4654" s="12" t="inlineStr">
        <is>
          <t>PAD-EH 13.8 kV switchgear e-house</t>
        </is>
      </c>
      <c r="G4654" s="12" t="inlineStr"/>
      <c r="H4654" s="12" t="inlineStr">
        <is>
          <t>FC-5..8 inverter / AC cabinet / desulfurizer</t>
        </is>
      </c>
      <c r="I4654" s="12" t="inlineStr">
        <is>
          <t>Instrumentation</t>
        </is>
      </c>
      <c r="J4654" s="12" t="inlineStr">
        <is>
          <t>Thermocouple extension KX, #16 shielded pairs, PLTC</t>
        </is>
      </c>
      <c r="K4654" s="12" t="inlineStr">
        <is>
          <t>TCX|12 pr|16</t>
        </is>
      </c>
      <c r="L4654" s="12" t="inlineStr">
        <is>
          <t>12 pr</t>
        </is>
      </c>
      <c r="M4654" s="12" t="inlineStr">
        <is>
          <t>16</t>
        </is>
      </c>
      <c r="N4654" s="12" t="n">
        <v>1</v>
      </c>
      <c r="O4654" s="12" t="n">
        <v>1</v>
      </c>
      <c r="P4654" s="12" t="n"/>
      <c r="Q4654" s="12" t="n"/>
      <c r="R4654" s="12" t="n"/>
      <c r="S4654" s="12" t="inlineStr">
        <is>
          <t>Surface</t>
        </is>
      </c>
      <c r="T4654" s="15" t="n">
        <v>198</v>
      </c>
      <c r="U4654" s="15" t="n">
        <v>32</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I-I-0041</t>
        </is>
      </c>
      <c r="B4655" s="12" t="inlineStr">
        <is>
          <t>I</t>
        </is>
      </c>
      <c r="C4655" s="12" t="inlineStr">
        <is>
          <t>Modular / portable power</t>
        </is>
      </c>
      <c r="D4655" s="12" t="inlineStr">
        <is>
          <t>Thermocouples</t>
        </is>
      </c>
      <c r="E4655" s="12" t="inlineStr">
        <is>
          <t>PAD-EH</t>
        </is>
      </c>
      <c r="F4655" s="12" t="inlineStr">
        <is>
          <t>PAD-EH 13.8 kV switchgear e-house</t>
        </is>
      </c>
      <c r="G4655" s="12" t="inlineStr"/>
      <c r="H4655" s="12" t="inlineStr">
        <is>
          <t>FC-5..8 inverter / AC cabinet / desulfurizer</t>
        </is>
      </c>
      <c r="I4655" s="12" t="inlineStr">
        <is>
          <t>Instrumentation</t>
        </is>
      </c>
      <c r="J4655" s="12" t="inlineStr">
        <is>
          <t>Thermocouple extension KX, #16 shielded pairs, PLTC</t>
        </is>
      </c>
      <c r="K4655" s="12" t="inlineStr">
        <is>
          <t>TCX|12 pr|16</t>
        </is>
      </c>
      <c r="L4655" s="12" t="inlineStr">
        <is>
          <t>12 pr</t>
        </is>
      </c>
      <c r="M4655" s="12" t="inlineStr">
        <is>
          <t>16</t>
        </is>
      </c>
      <c r="N4655" s="12" t="n">
        <v>1</v>
      </c>
      <c r="O4655" s="12" t="n">
        <v>1</v>
      </c>
      <c r="P4655" s="12" t="n"/>
      <c r="Q4655" s="12" t="n"/>
      <c r="R4655" s="12" t="n"/>
      <c r="S4655" s="12" t="inlineStr">
        <is>
          <t>Surface</t>
        </is>
      </c>
      <c r="T4655" s="15" t="n">
        <v>198</v>
      </c>
      <c r="U4655" s="15" t="n">
        <v>32</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I-I-0042</t>
        </is>
      </c>
      <c r="B4656" s="12" t="inlineStr">
        <is>
          <t>I</t>
        </is>
      </c>
      <c r="C4656" s="12" t="inlineStr">
        <is>
          <t>Modular / portable power</t>
        </is>
      </c>
      <c r="D4656" s="12" t="inlineStr">
        <is>
          <t>Analog instrument to JB JB-FC-5-AI01: 10 x 1 pr (field cables)</t>
        </is>
      </c>
      <c r="E4656" s="12" t="inlineStr">
        <is>
          <t>FC-5</t>
        </is>
      </c>
      <c r="F4656" s="12" t="inlineStr">
        <is>
          <t>FC-5: SOFC module (200-300 kW class)</t>
        </is>
      </c>
      <c r="G4656" s="12" t="inlineStr">
        <is>
          <t>JB-FC-5-AI01</t>
        </is>
      </c>
      <c r="H4656" s="12" t="inlineStr">
        <is>
          <t>FC-5: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I-I-0043</t>
        </is>
      </c>
      <c r="B4657" s="12" t="inlineStr">
        <is>
          <t>I</t>
        </is>
      </c>
      <c r="C4657" s="12" t="inlineStr">
        <is>
          <t>Modular / portable power</t>
        </is>
      </c>
      <c r="D4657" s="12" t="inlineStr">
        <is>
          <t>Home run JB-FC-5-AI01 to the control / marshalling room</t>
        </is>
      </c>
      <c r="E4657" s="12" t="inlineStr">
        <is>
          <t>PAD-EH</t>
        </is>
      </c>
      <c r="F4657" s="12" t="inlineStr">
        <is>
          <t>PAD-EH 13.8 kV switchgear e-house</t>
        </is>
      </c>
      <c r="G4657" s="12" t="inlineStr">
        <is>
          <t>JB-FC-5-AI01</t>
        </is>
      </c>
      <c r="H4657" s="12" t="inlineStr">
        <is>
          <t>FC-5: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251</v>
      </c>
      <c r="U4657" s="15" t="n">
        <v>44</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I-I-0044</t>
        </is>
      </c>
      <c r="B4658" s="12" t="inlineStr">
        <is>
          <t>I</t>
        </is>
      </c>
      <c r="C4658" s="12" t="inlineStr">
        <is>
          <t>Modular / portable power</t>
        </is>
      </c>
      <c r="D4658" s="12" t="inlineStr">
        <is>
          <t>Discrete device to JB JB-FC-5-DI01: 10 x 1 pr (field cables)</t>
        </is>
      </c>
      <c r="E4658" s="12" t="inlineStr">
        <is>
          <t>FC-5</t>
        </is>
      </c>
      <c r="F4658" s="12" t="inlineStr">
        <is>
          <t>FC-5: SOFC module (200-300 kW class)</t>
        </is>
      </c>
      <c r="G4658" s="12" t="inlineStr">
        <is>
          <t>JB-FC-5-DI01</t>
        </is>
      </c>
      <c r="H4658" s="12" t="inlineStr">
        <is>
          <t>FC-5: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I-I-0045</t>
        </is>
      </c>
      <c r="B4659" s="12" t="inlineStr">
        <is>
          <t>I</t>
        </is>
      </c>
      <c r="C4659" s="12" t="inlineStr">
        <is>
          <t>Modular / portable power</t>
        </is>
      </c>
      <c r="D4659" s="12" t="inlineStr">
        <is>
          <t>Home run JB-FC-5-DI01 to the control / marshalling room</t>
        </is>
      </c>
      <c r="E4659" s="12" t="inlineStr">
        <is>
          <t>PAD-EH</t>
        </is>
      </c>
      <c r="F4659" s="12" t="inlineStr">
        <is>
          <t>PAD-EH 13.8 kV switchgear e-house</t>
        </is>
      </c>
      <c r="G4659" s="12" t="inlineStr">
        <is>
          <t>JB-FC-5-DI01</t>
        </is>
      </c>
      <c r="H4659" s="12" t="inlineStr">
        <is>
          <t>FC-5: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251</v>
      </c>
      <c r="U4659" s="15" t="n">
        <v>44</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I-I-0046</t>
        </is>
      </c>
      <c r="B4660" s="12" t="inlineStr">
        <is>
          <t>I</t>
        </is>
      </c>
      <c r="C4660" s="12" t="inlineStr">
        <is>
          <t>Modular / portable power</t>
        </is>
      </c>
      <c r="D4660" s="12" t="inlineStr">
        <is>
          <t>Analog instrument to JB JB-FC-6-AI01: 10 x 1 pr (field cables)</t>
        </is>
      </c>
      <c r="E4660" s="12" t="inlineStr">
        <is>
          <t>FC-6</t>
        </is>
      </c>
      <c r="F4660" s="12" t="inlineStr">
        <is>
          <t>FC-6: SOFC module (200-300 kW class)</t>
        </is>
      </c>
      <c r="G4660" s="12" t="inlineStr">
        <is>
          <t>JB-FC-6-AI01</t>
        </is>
      </c>
      <c r="H4660" s="12" t="inlineStr">
        <is>
          <t>FC-6: SOFC module (200-300 kW class)</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5" t="n">
        <v>45</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I-I-0047</t>
        </is>
      </c>
      <c r="B4661" s="12" t="inlineStr">
        <is>
          <t>I</t>
        </is>
      </c>
      <c r="C4661" s="12" t="inlineStr">
        <is>
          <t>Modular / portable power</t>
        </is>
      </c>
      <c r="D4661" s="12" t="inlineStr">
        <is>
          <t>Home run JB-FC-6-AI01 to the control / marshalling room</t>
        </is>
      </c>
      <c r="E4661" s="12" t="inlineStr">
        <is>
          <t>PAD-EH</t>
        </is>
      </c>
      <c r="F4661" s="12" t="inlineStr">
        <is>
          <t>PAD-EH 13.8 kV switchgear e-house</t>
        </is>
      </c>
      <c r="G4661" s="12" t="inlineStr">
        <is>
          <t>JB-FC-6-AI01</t>
        </is>
      </c>
      <c r="H4661" s="12" t="inlineStr">
        <is>
          <t>FC-6: SOFC module (200-300 kW class)</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5" t="n">
        <v>251</v>
      </c>
      <c r="U4661" s="15" t="n">
        <v>37</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I-I-0048</t>
        </is>
      </c>
      <c r="B4662" s="12" t="inlineStr">
        <is>
          <t>I</t>
        </is>
      </c>
      <c r="C4662" s="12" t="inlineStr">
        <is>
          <t>Modular / portable power</t>
        </is>
      </c>
      <c r="D4662" s="12" t="inlineStr">
        <is>
          <t>Discrete device to JB JB-FC-6-DI01: 10 x 1 pr (field cables)</t>
        </is>
      </c>
      <c r="E4662" s="12" t="inlineStr">
        <is>
          <t>FC-6</t>
        </is>
      </c>
      <c r="F4662" s="12" t="inlineStr">
        <is>
          <t>FC-6: SOFC module (200-300 kW class)</t>
        </is>
      </c>
      <c r="G4662" s="12" t="inlineStr">
        <is>
          <t>JB-FC-6-DI01</t>
        </is>
      </c>
      <c r="H4662" s="12" t="inlineStr">
        <is>
          <t>FC-6: SOFC module (200-300 kW class)</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5" t="n">
        <v>45</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I-I-0049</t>
        </is>
      </c>
      <c r="B4663" s="12" t="inlineStr">
        <is>
          <t>I</t>
        </is>
      </c>
      <c r="C4663" s="12" t="inlineStr">
        <is>
          <t>Modular / portable power</t>
        </is>
      </c>
      <c r="D4663" s="12" t="inlineStr">
        <is>
          <t>Home run JB-FC-6-DI01 to the control / marshalling room</t>
        </is>
      </c>
      <c r="E4663" s="12" t="inlineStr">
        <is>
          <t>PAD-EH</t>
        </is>
      </c>
      <c r="F4663" s="12" t="inlineStr">
        <is>
          <t>PAD-EH 13.8 kV switchgear e-house</t>
        </is>
      </c>
      <c r="G4663" s="12" t="inlineStr">
        <is>
          <t>JB-FC-6-DI01</t>
        </is>
      </c>
      <c r="H4663" s="12" t="inlineStr">
        <is>
          <t>FC-6: SOFC module (200-300 kW class)</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Surface</t>
        </is>
      </c>
      <c r="T4663" s="15" t="n">
        <v>251</v>
      </c>
      <c r="U4663" s="15" t="n">
        <v>37</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I-I-0050</t>
        </is>
      </c>
      <c r="B4664" s="12" t="inlineStr">
        <is>
          <t>I</t>
        </is>
      </c>
      <c r="C4664" s="12" t="inlineStr">
        <is>
          <t>Modular / portable power</t>
        </is>
      </c>
      <c r="D4664" s="12" t="inlineStr">
        <is>
          <t>Analog instrument to JB JB-FC-7-AI01: 10 x 1 pr (field cables)</t>
        </is>
      </c>
      <c r="E4664" s="12" t="inlineStr">
        <is>
          <t>FC-7</t>
        </is>
      </c>
      <c r="F4664" s="12" t="inlineStr">
        <is>
          <t>FC-7: SOFC module (200-300 kW class)</t>
        </is>
      </c>
      <c r="G4664" s="12" t="inlineStr">
        <is>
          <t>JB-FC-7-AI01</t>
        </is>
      </c>
      <c r="H4664" s="12" t="inlineStr">
        <is>
          <t>FC-7: SOFC module (200-300 kW class)</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5" t="n">
        <v>45</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I-I-0051</t>
        </is>
      </c>
      <c r="B4665" s="12" t="inlineStr">
        <is>
          <t>I</t>
        </is>
      </c>
      <c r="C4665" s="12" t="inlineStr">
        <is>
          <t>Modular / portable power</t>
        </is>
      </c>
      <c r="D4665" s="12" t="inlineStr">
        <is>
          <t>Home run JB-FC-7-AI01 to the control / marshalling room</t>
        </is>
      </c>
      <c r="E4665" s="12" t="inlineStr">
        <is>
          <t>PAD-EH</t>
        </is>
      </c>
      <c r="F4665" s="12" t="inlineStr">
        <is>
          <t>PAD-EH 13.8 kV switchgear e-house</t>
        </is>
      </c>
      <c r="G4665" s="12" t="inlineStr">
        <is>
          <t>JB-FC-7-AI01</t>
        </is>
      </c>
      <c r="H4665" s="12" t="inlineStr">
        <is>
          <t>FC-7: SOFC module (200-300 kW class)</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Surface</t>
        </is>
      </c>
      <c r="T4665" s="15" t="n">
        <v>239</v>
      </c>
      <c r="U4665" s="15" t="n">
        <v>37</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I-I-0052</t>
        </is>
      </c>
      <c r="B4666" s="12" t="inlineStr">
        <is>
          <t>I</t>
        </is>
      </c>
      <c r="C4666" s="12" t="inlineStr">
        <is>
          <t>Modular / portable power</t>
        </is>
      </c>
      <c r="D4666" s="12" t="inlineStr">
        <is>
          <t>Discrete device to JB JB-FC-7-DI01: 10 x 1 pr (field cables)</t>
        </is>
      </c>
      <c r="E4666" s="12" t="inlineStr">
        <is>
          <t>FC-7</t>
        </is>
      </c>
      <c r="F4666" s="12" t="inlineStr">
        <is>
          <t>FC-7: SOFC module (200-300 kW class)</t>
        </is>
      </c>
      <c r="G4666" s="12" t="inlineStr">
        <is>
          <t>JB-FC-7-DI01</t>
        </is>
      </c>
      <c r="H4666" s="12" t="inlineStr">
        <is>
          <t>FC-7: SOFC module (200-300 kW class)</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10</v>
      </c>
      <c r="O4666" s="12" t="n">
        <v>1</v>
      </c>
      <c r="P4666" s="12" t="n"/>
      <c r="Q4666" s="12" t="n"/>
      <c r="R4666" s="12" t="n"/>
      <c r="S4666" s="12" t="inlineStr">
        <is>
          <t>Tray / conduit</t>
        </is>
      </c>
      <c r="T4666" s="15" t="n">
        <v>45</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I-I-0053</t>
        </is>
      </c>
      <c r="B4667" s="12" t="inlineStr">
        <is>
          <t>I</t>
        </is>
      </c>
      <c r="C4667" s="12" t="inlineStr">
        <is>
          <t>Modular / portable power</t>
        </is>
      </c>
      <c r="D4667" s="12" t="inlineStr">
        <is>
          <t>Home run JB-FC-7-DI01 to the control / marshalling room</t>
        </is>
      </c>
      <c r="E4667" s="12" t="inlineStr">
        <is>
          <t>PAD-EH</t>
        </is>
      </c>
      <c r="F4667" s="12" t="inlineStr">
        <is>
          <t>PAD-EH 13.8 kV switchgear e-house</t>
        </is>
      </c>
      <c r="G4667" s="12" t="inlineStr">
        <is>
          <t>JB-FC-7-DI01</t>
        </is>
      </c>
      <c r="H4667" s="12" t="inlineStr">
        <is>
          <t>FC-7: SOFC module (200-300 kW class)</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Surface</t>
        </is>
      </c>
      <c r="T4667" s="15" t="n">
        <v>239</v>
      </c>
      <c r="U4667" s="15" t="n">
        <v>37</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I-I-0054</t>
        </is>
      </c>
      <c r="B4668" s="12" t="inlineStr">
        <is>
          <t>I</t>
        </is>
      </c>
      <c r="C4668" s="12" t="inlineStr">
        <is>
          <t>Modular / portable power</t>
        </is>
      </c>
      <c r="D4668" s="12" t="inlineStr">
        <is>
          <t>Analog instrument to JB JB-FC-8-AI01: 10 x 1 pr (field cables)</t>
        </is>
      </c>
      <c r="E4668" s="12" t="inlineStr">
        <is>
          <t>FC-8</t>
        </is>
      </c>
      <c r="F4668" s="12" t="inlineStr">
        <is>
          <t>FC-8: SOFC module (200-300 kW class)</t>
        </is>
      </c>
      <c r="G4668" s="12" t="inlineStr">
        <is>
          <t>JB-FC-8-AI01</t>
        </is>
      </c>
      <c r="H4668" s="12" t="inlineStr">
        <is>
          <t>FC-8: SOFC module (200-300 kW class)</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5" t="n">
        <v>45</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I-I-0055</t>
        </is>
      </c>
      <c r="B4669" s="12" t="inlineStr">
        <is>
          <t>I</t>
        </is>
      </c>
      <c r="C4669" s="12" t="inlineStr">
        <is>
          <t>Modular / portable power</t>
        </is>
      </c>
      <c r="D4669" s="12" t="inlineStr">
        <is>
          <t>Home run JB-FC-8-AI01 to the control / marshalling room</t>
        </is>
      </c>
      <c r="E4669" s="12" t="inlineStr">
        <is>
          <t>PAD-EH</t>
        </is>
      </c>
      <c r="F4669" s="12" t="inlineStr">
        <is>
          <t>PAD-EH 13.8 kV switchgear e-house</t>
        </is>
      </c>
      <c r="G4669" s="12" t="inlineStr">
        <is>
          <t>JB-FC-8-AI01</t>
        </is>
      </c>
      <c r="H4669" s="12" t="inlineStr">
        <is>
          <t>FC-8: SOFC module (200-300 kW class)</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Surface</t>
        </is>
      </c>
      <c r="T4669" s="15" t="n">
        <v>210</v>
      </c>
      <c r="U4669" s="15" t="n">
        <v>39</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I-I-0056</t>
        </is>
      </c>
      <c r="B4670" s="12" t="inlineStr">
        <is>
          <t>I</t>
        </is>
      </c>
      <c r="C4670" s="12" t="inlineStr">
        <is>
          <t>Modular / portable power</t>
        </is>
      </c>
      <c r="D4670" s="12" t="inlineStr">
        <is>
          <t>Discrete device to JB JB-FC-8-DI01: 10 x 1 pr (field cables)</t>
        </is>
      </c>
      <c r="E4670" s="12" t="inlineStr">
        <is>
          <t>FC-8</t>
        </is>
      </c>
      <c r="F4670" s="12" t="inlineStr">
        <is>
          <t>FC-8: SOFC module (200-300 kW class)</t>
        </is>
      </c>
      <c r="G4670" s="12" t="inlineStr">
        <is>
          <t>JB-FC-8-DI01</t>
        </is>
      </c>
      <c r="H4670" s="12" t="inlineStr">
        <is>
          <t>FC-8: SOFC module (200-300 kW class)</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5" t="n">
        <v>45</v>
      </c>
      <c r="U4670" s="15" t="n">
        <v>10</v>
      </c>
      <c r="V4670" s="15">
        <f>ROUNDUP((T4670+U4670+2*'Read Me'!$B$13)*(1+'Read Me'!$B$12),-1)</f>
        <v/>
      </c>
      <c r="W4670" s="15">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I-I-0057</t>
        </is>
      </c>
      <c r="B4671" s="12" t="inlineStr">
        <is>
          <t>I</t>
        </is>
      </c>
      <c r="C4671" s="12" t="inlineStr">
        <is>
          <t>Modular / portable power</t>
        </is>
      </c>
      <c r="D4671" s="12" t="inlineStr">
        <is>
          <t>Home run JB-FC-8-DI01 to the control / marshalling room</t>
        </is>
      </c>
      <c r="E4671" s="12" t="inlineStr">
        <is>
          <t>PAD-EH</t>
        </is>
      </c>
      <c r="F4671" s="12" t="inlineStr">
        <is>
          <t>PAD-EH 13.8 kV switchgear e-house</t>
        </is>
      </c>
      <c r="G4671" s="12" t="inlineStr">
        <is>
          <t>JB-FC-8-DI01</t>
        </is>
      </c>
      <c r="H4671" s="12" t="inlineStr">
        <is>
          <t>FC-8: SOFC module (200-300 kW class)</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Surface</t>
        </is>
      </c>
      <c r="T4671" s="15" t="n">
        <v>210</v>
      </c>
      <c r="U4671" s="15" t="n">
        <v>39</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I-I-0058</t>
        </is>
      </c>
      <c r="B4672" s="12" t="inlineStr">
        <is>
          <t>I</t>
        </is>
      </c>
      <c r="C4672" s="12" t="inlineStr">
        <is>
          <t>Modular / portable power</t>
        </is>
      </c>
      <c r="D4672" s="12" t="inlineStr">
        <is>
          <t>Analog instrument to JB JB-Fuel-gas compresso-AI01: 20 x 1 pr (field cables)</t>
        </is>
      </c>
      <c r="E4672" s="12" t="inlineStr"/>
      <c r="F4672" s="12" t="inlineStr">
        <is>
          <t>Fuel-gas compressors 3 x 100% electric</t>
        </is>
      </c>
      <c r="G4672" s="12" t="inlineStr">
        <is>
          <t>JB-Fuel-gas compresso-AI01</t>
        </is>
      </c>
      <c r="H4672" s="12" t="inlineStr">
        <is>
          <t>Fuel-gas compressors 3 x 100% electric</t>
        </is>
      </c>
      <c r="I4672" s="12" t="inlineStr">
        <is>
          <t>Instrumentation</t>
        </is>
      </c>
      <c r="J4672" s="12" t="inlineStr">
        <is>
          <t>Instrumentation ITC / PLTC, IS, #18 shielded pairs, blue jacket</t>
        </is>
      </c>
      <c r="K4672" s="12" t="inlineStr">
        <is>
          <t>ITC|1 pr|16</t>
        </is>
      </c>
      <c r="L4672" s="12" t="inlineStr">
        <is>
          <t>1 pr</t>
        </is>
      </c>
      <c r="M4672" s="12" t="inlineStr">
        <is>
          <t>16</t>
        </is>
      </c>
      <c r="N4672" s="12" t="n">
        <v>20</v>
      </c>
      <c r="O4672" s="12" t="n">
        <v>1</v>
      </c>
      <c r="P4672" s="12" t="n"/>
      <c r="Q4672" s="12" t="n"/>
      <c r="R4672" s="12" t="n"/>
      <c r="S4672" s="12" t="inlineStr">
        <is>
          <t>Tray / conduit</t>
        </is>
      </c>
      <c r="T4672" s="15" t="n">
        <v>103</v>
      </c>
      <c r="U4672" s="15" t="n">
        <v>10</v>
      </c>
      <c r="V4672" s="15">
        <f>ROUNDUP((T4672+U4672+2*'Read Me'!$B$13)*(1+'Read Me'!$B$12),-1)</f>
        <v/>
      </c>
      <c r="W4672" s="15">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I-I-0059</t>
        </is>
      </c>
      <c r="B4673" s="12" t="inlineStr">
        <is>
          <t>I</t>
        </is>
      </c>
      <c r="C4673" s="12" t="inlineStr">
        <is>
          <t>Modular / portable power</t>
        </is>
      </c>
      <c r="D4673" s="12" t="inlineStr">
        <is>
          <t>Home run JB-Fuel-gas compresso-AI01 to the control / marshalling room</t>
        </is>
      </c>
      <c r="E4673" s="12" t="inlineStr"/>
      <c r="F4673" s="12" t="inlineStr">
        <is>
          <t>SC-2 PCM + 15 kV GCB</t>
        </is>
      </c>
      <c r="G4673" s="12" t="inlineStr">
        <is>
          <t>JB-Fuel-gas compresso-AI01</t>
        </is>
      </c>
      <c r="H4673" s="12" t="inlineStr">
        <is>
          <t>Fuel-gas compressors 3 x 100% electric</t>
        </is>
      </c>
      <c r="I4673" s="12" t="inlineStr">
        <is>
          <t>Instrumentation</t>
        </is>
      </c>
      <c r="J4673" s="12" t="inlineStr">
        <is>
          <t>Instrumentation ITC / PLTC, IS, #18 shielded pairs, blue jacket</t>
        </is>
      </c>
      <c r="K4673" s="12" t="inlineStr">
        <is>
          <t>ITC|24 pr|18</t>
        </is>
      </c>
      <c r="L4673" s="12" t="inlineStr">
        <is>
          <t>24 pr</t>
        </is>
      </c>
      <c r="M4673" s="12" t="inlineStr">
        <is>
          <t>18</t>
        </is>
      </c>
      <c r="N4673" s="12" t="n">
        <v>1</v>
      </c>
      <c r="O4673" s="12" t="n">
        <v>1</v>
      </c>
      <c r="P4673" s="12" t="n"/>
      <c r="Q4673" s="12" t="n"/>
      <c r="R4673" s="12" t="n"/>
      <c r="S4673" s="12" t="inlineStr">
        <is>
          <t>Duct bank</t>
        </is>
      </c>
      <c r="T4673" s="15" t="n">
        <v>8</v>
      </c>
      <c r="U4673" s="15" t="n">
        <v>108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I-I-0060</t>
        </is>
      </c>
      <c r="B4674" s="12" t="inlineStr">
        <is>
          <t>I</t>
        </is>
      </c>
      <c r="C4674" s="12" t="inlineStr">
        <is>
          <t>Modular / portable power</t>
        </is>
      </c>
      <c r="D4674" s="12" t="inlineStr">
        <is>
          <t>Analog instrument to JB JB-Fuel-gas compresso-AI02: 10 x 1 pr (field cables)</t>
        </is>
      </c>
      <c r="E4674" s="12" t="inlineStr"/>
      <c r="F4674" s="12" t="inlineStr">
        <is>
          <t>Fuel-gas compressors 3 x 100% electric</t>
        </is>
      </c>
      <c r="G4674" s="12" t="inlineStr">
        <is>
          <t>JB-Fuel-gas compresso-AI02</t>
        </is>
      </c>
      <c r="H4674" s="12" t="inlineStr">
        <is>
          <t>Fuel-gas compressors 3 x 100% electric</t>
        </is>
      </c>
      <c r="I4674" s="12" t="inlineStr">
        <is>
          <t>Instrumentation</t>
        </is>
      </c>
      <c r="J4674" s="12" t="inlineStr">
        <is>
          <t>Instrumentation ITC / PLTC, IS, #18 shielded pairs, blue jacket</t>
        </is>
      </c>
      <c r="K4674" s="12" t="inlineStr">
        <is>
          <t>ITC|1 pr|16</t>
        </is>
      </c>
      <c r="L4674" s="12" t="inlineStr">
        <is>
          <t>1 pr</t>
        </is>
      </c>
      <c r="M4674" s="12" t="inlineStr">
        <is>
          <t>16</t>
        </is>
      </c>
      <c r="N4674" s="12" t="n">
        <v>10</v>
      </c>
      <c r="O4674" s="12" t="n">
        <v>1</v>
      </c>
      <c r="P4674" s="12" t="n"/>
      <c r="Q4674" s="12" t="n"/>
      <c r="R4674" s="12" t="n"/>
      <c r="S4674" s="12" t="inlineStr">
        <is>
          <t>Tray / conduit</t>
        </is>
      </c>
      <c r="T4674" s="15" t="n">
        <v>103</v>
      </c>
      <c r="U4674" s="15" t="n">
        <v>10</v>
      </c>
      <c r="V4674" s="15">
        <f>ROUNDUP((T4674+U4674+2*'Read Me'!$B$13)*(1+'Read Me'!$B$12),-1)</f>
        <v/>
      </c>
      <c r="W4674" s="15">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I-I-0061</t>
        </is>
      </c>
      <c r="B4675" s="12" t="inlineStr">
        <is>
          <t>I</t>
        </is>
      </c>
      <c r="C4675" s="12" t="inlineStr">
        <is>
          <t>Modular / portable power</t>
        </is>
      </c>
      <c r="D4675" s="12" t="inlineStr">
        <is>
          <t>Home run JB-Fuel-gas compresso-AI02 to the control / marshalling room</t>
        </is>
      </c>
      <c r="E4675" s="12" t="inlineStr"/>
      <c r="F4675" s="12" t="inlineStr">
        <is>
          <t>SC-2 PCM + 15 kV GCB</t>
        </is>
      </c>
      <c r="G4675" s="12" t="inlineStr">
        <is>
          <t>JB-Fuel-gas compresso-AI02</t>
        </is>
      </c>
      <c r="H4675" s="12" t="inlineStr">
        <is>
          <t>Fuel-gas compressors 3 x 100% electric</t>
        </is>
      </c>
      <c r="I4675" s="12" t="inlineStr">
        <is>
          <t>Instrumentation</t>
        </is>
      </c>
      <c r="J4675" s="12" t="inlineStr">
        <is>
          <t>Instrumentation ITC / PLTC, IS, #18 shielded pairs, blue jacket</t>
        </is>
      </c>
      <c r="K4675" s="12" t="inlineStr">
        <is>
          <t>ITC|24 pr|18</t>
        </is>
      </c>
      <c r="L4675" s="12" t="inlineStr">
        <is>
          <t>24 pr</t>
        </is>
      </c>
      <c r="M4675" s="12" t="inlineStr">
        <is>
          <t>18</t>
        </is>
      </c>
      <c r="N4675" s="12" t="n">
        <v>1</v>
      </c>
      <c r="O4675" s="12" t="n">
        <v>1</v>
      </c>
      <c r="P4675" s="12" t="n"/>
      <c r="Q4675" s="12" t="n"/>
      <c r="R4675" s="12" t="n"/>
      <c r="S4675" s="12" t="inlineStr">
        <is>
          <t>Duct bank</t>
        </is>
      </c>
      <c r="T4675" s="15" t="n">
        <v>8</v>
      </c>
      <c r="U4675" s="15" t="n">
        <v>108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I-I-0062</t>
        </is>
      </c>
      <c r="B4676" s="12" t="inlineStr">
        <is>
          <t>I</t>
        </is>
      </c>
      <c r="C4676" s="12" t="inlineStr">
        <is>
          <t>Modular / portable power</t>
        </is>
      </c>
      <c r="D4676" s="12" t="inlineStr">
        <is>
          <t>Discrete device to JB JB-Fuel-gas compresso-DI01: 20 x 1 pr (field cables)</t>
        </is>
      </c>
      <c r="E4676" s="12" t="inlineStr"/>
      <c r="F4676" s="12" t="inlineStr">
        <is>
          <t>Fuel-gas compressors 3 x 100% electric</t>
        </is>
      </c>
      <c r="G4676" s="12" t="inlineStr">
        <is>
          <t>JB-Fuel-gas compresso-DI01</t>
        </is>
      </c>
      <c r="H4676" s="12" t="inlineStr">
        <is>
          <t>Fuel-gas compressors 3 x 100% electric</t>
        </is>
      </c>
      <c r="I4676" s="12" t="inlineStr">
        <is>
          <t>Instrumentation</t>
        </is>
      </c>
      <c r="J4676" s="12" t="inlineStr">
        <is>
          <t>Instrumentation ITC / PLTC, IS, #18 shielded pairs, blue jacket</t>
        </is>
      </c>
      <c r="K4676" s="12" t="inlineStr">
        <is>
          <t>ITC|1 pr|16</t>
        </is>
      </c>
      <c r="L4676" s="12" t="inlineStr">
        <is>
          <t>1 pr</t>
        </is>
      </c>
      <c r="M4676" s="12" t="inlineStr">
        <is>
          <t>16</t>
        </is>
      </c>
      <c r="N4676" s="12" t="n">
        <v>20</v>
      </c>
      <c r="O4676" s="12" t="n">
        <v>1</v>
      </c>
      <c r="P4676" s="12" t="n"/>
      <c r="Q4676" s="12" t="n"/>
      <c r="R4676" s="12" t="n"/>
      <c r="S4676" s="12" t="inlineStr">
        <is>
          <t>Tray / conduit</t>
        </is>
      </c>
      <c r="T4676" s="15" t="n">
        <v>103</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I-I-0063</t>
        </is>
      </c>
      <c r="B4677" s="12" t="inlineStr">
        <is>
          <t>I</t>
        </is>
      </c>
      <c r="C4677" s="12" t="inlineStr">
        <is>
          <t>Modular / portable power</t>
        </is>
      </c>
      <c r="D4677" s="12" t="inlineStr">
        <is>
          <t>Home run JB-Fuel-gas compresso-DI01 to the control / marshalling room</t>
        </is>
      </c>
      <c r="E4677" s="12" t="inlineStr"/>
      <c r="F4677" s="12" t="inlineStr">
        <is>
          <t>SC-2 PCM + 15 kV GCB</t>
        </is>
      </c>
      <c r="G4677" s="12" t="inlineStr">
        <is>
          <t>JB-Fuel-gas compresso-DI01</t>
        </is>
      </c>
      <c r="H4677" s="12" t="inlineStr">
        <is>
          <t>Fuel-gas compressors 3 x 100% electric</t>
        </is>
      </c>
      <c r="I4677" s="12" t="inlineStr">
        <is>
          <t>Instrumentation</t>
        </is>
      </c>
      <c r="J4677" s="12" t="inlineStr">
        <is>
          <t>Instrumentation ITC / PLTC, IS, #18 shielded pairs, blue jacket</t>
        </is>
      </c>
      <c r="K4677" s="12" t="inlineStr">
        <is>
          <t>ITC|24 pr|18</t>
        </is>
      </c>
      <c r="L4677" s="12" t="inlineStr">
        <is>
          <t>24 pr</t>
        </is>
      </c>
      <c r="M4677" s="12" t="inlineStr">
        <is>
          <t>18</t>
        </is>
      </c>
      <c r="N4677" s="12" t="n">
        <v>1</v>
      </c>
      <c r="O4677" s="12" t="n">
        <v>1</v>
      </c>
      <c r="P4677" s="12" t="n"/>
      <c r="Q4677" s="12" t="n"/>
      <c r="R4677" s="12" t="n"/>
      <c r="S4677" s="12" t="inlineStr">
        <is>
          <t>Duct bank</t>
        </is>
      </c>
      <c r="T4677" s="15" t="n">
        <v>8</v>
      </c>
      <c r="U4677" s="15" t="n">
        <v>108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I-I-0064</t>
        </is>
      </c>
      <c r="B4678" s="12" t="inlineStr">
        <is>
          <t>I</t>
        </is>
      </c>
      <c r="C4678" s="12" t="inlineStr">
        <is>
          <t>Modular / portable power</t>
        </is>
      </c>
      <c r="D4678" s="12" t="inlineStr">
        <is>
          <t>RTD to JB JB-Fuel-gas compresso-RTD01: 10 x 1 tri (field cables)</t>
        </is>
      </c>
      <c r="E4678" s="12" t="inlineStr"/>
      <c r="F4678" s="12" t="inlineStr">
        <is>
          <t>Fuel-gas compressors 3 x 100% electric</t>
        </is>
      </c>
      <c r="G4678" s="12" t="inlineStr">
        <is>
          <t>JB-Fuel-gas compresso-RTD01</t>
        </is>
      </c>
      <c r="H4678" s="12" t="inlineStr">
        <is>
          <t>Fuel-gas compressors 3 x 100% electric</t>
        </is>
      </c>
      <c r="I4678" s="12" t="inlineStr">
        <is>
          <t>Instrumentation</t>
        </is>
      </c>
      <c r="J4678" s="12" t="inlineStr">
        <is>
          <t>RTD cable, #18 shielded triads, PLTC</t>
        </is>
      </c>
      <c r="K4678" s="12" t="inlineStr">
        <is>
          <t>RTD|1 tri|18</t>
        </is>
      </c>
      <c r="L4678" s="12" t="inlineStr">
        <is>
          <t>1 tri</t>
        </is>
      </c>
      <c r="M4678" s="12" t="inlineStr">
        <is>
          <t>18</t>
        </is>
      </c>
      <c r="N4678" s="12" t="n">
        <v>10</v>
      </c>
      <c r="O4678" s="12" t="n">
        <v>1</v>
      </c>
      <c r="P4678" s="12" t="n"/>
      <c r="Q4678" s="12" t="n"/>
      <c r="R4678" s="12" t="n"/>
      <c r="S4678" s="12" t="inlineStr">
        <is>
          <t>Tray / conduit</t>
        </is>
      </c>
      <c r="T4678" s="15" t="n">
        <v>103</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I-I-0065</t>
        </is>
      </c>
      <c r="B4679" s="12" t="inlineStr">
        <is>
          <t>I</t>
        </is>
      </c>
      <c r="C4679" s="12" t="inlineStr">
        <is>
          <t>Modular / portable power</t>
        </is>
      </c>
      <c r="D4679" s="12" t="inlineStr">
        <is>
          <t>Home run JB-Fuel-gas compresso-RTD01 to the control / marshalling room</t>
        </is>
      </c>
      <c r="E4679" s="12" t="inlineStr"/>
      <c r="F4679" s="12" t="inlineStr">
        <is>
          <t>SC-2 PCM + 15 kV GCB</t>
        </is>
      </c>
      <c r="G4679" s="12" t="inlineStr">
        <is>
          <t>JB-Fuel-gas compresso-RTD01</t>
        </is>
      </c>
      <c r="H4679" s="12" t="inlineStr">
        <is>
          <t>Fuel-gas compressors 3 x 100% electric</t>
        </is>
      </c>
      <c r="I4679" s="12" t="inlineStr">
        <is>
          <t>Instrumentation</t>
        </is>
      </c>
      <c r="J4679" s="12" t="inlineStr">
        <is>
          <t>RTD cable, #18 shielded triads, PLTC</t>
        </is>
      </c>
      <c r="K4679" s="12" t="inlineStr">
        <is>
          <t>RTD|12 tri|18</t>
        </is>
      </c>
      <c r="L4679" s="12" t="inlineStr">
        <is>
          <t>12 tri</t>
        </is>
      </c>
      <c r="M4679" s="12" t="inlineStr">
        <is>
          <t>18</t>
        </is>
      </c>
      <c r="N4679" s="12" t="n">
        <v>1</v>
      </c>
      <c r="O4679" s="12" t="n">
        <v>1</v>
      </c>
      <c r="P4679" s="12" t="n"/>
      <c r="Q4679" s="12" t="n"/>
      <c r="R4679" s="12" t="n"/>
      <c r="S4679" s="12" t="inlineStr">
        <is>
          <t>Duct bank</t>
        </is>
      </c>
      <c r="T4679" s="15" t="n">
        <v>8</v>
      </c>
      <c r="U4679" s="15" t="n">
        <v>108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I-I-0066</t>
        </is>
      </c>
      <c r="B4680" s="12" t="inlineStr">
        <is>
          <t>I</t>
        </is>
      </c>
      <c r="C4680" s="12" t="inlineStr">
        <is>
          <t>Modular / portable power</t>
        </is>
      </c>
      <c r="D4680" s="12" t="inlineStr">
        <is>
          <t>RTD to JB JB-Fuel-gas compresso-RTD02: 2 x 1 tri (field cables)</t>
        </is>
      </c>
      <c r="E4680" s="12" t="inlineStr"/>
      <c r="F4680" s="12" t="inlineStr">
        <is>
          <t>Fuel-gas compressors 3 x 100% electric</t>
        </is>
      </c>
      <c r="G4680" s="12" t="inlineStr">
        <is>
          <t>JB-Fuel-gas compresso-RTD02</t>
        </is>
      </c>
      <c r="H4680" s="12" t="inlineStr">
        <is>
          <t>Fuel-gas compressors 3 x 100% electric</t>
        </is>
      </c>
      <c r="I4680" s="12" t="inlineStr">
        <is>
          <t>Instrumentation</t>
        </is>
      </c>
      <c r="J4680" s="12" t="inlineStr">
        <is>
          <t>RTD cable, #18 shielded triads, PLTC</t>
        </is>
      </c>
      <c r="K4680" s="12" t="inlineStr">
        <is>
          <t>RTD|1 tri|18</t>
        </is>
      </c>
      <c r="L4680" s="12" t="inlineStr">
        <is>
          <t>1 tri</t>
        </is>
      </c>
      <c r="M4680" s="12" t="inlineStr">
        <is>
          <t>18</t>
        </is>
      </c>
      <c r="N4680" s="12" t="n">
        <v>2</v>
      </c>
      <c r="O4680" s="12" t="n">
        <v>1</v>
      </c>
      <c r="P4680" s="12" t="n"/>
      <c r="Q4680" s="12" t="n"/>
      <c r="R4680" s="12" t="n"/>
      <c r="S4680" s="12" t="inlineStr">
        <is>
          <t>Tray / conduit</t>
        </is>
      </c>
      <c r="T4680" s="15" t="n">
        <v>103</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I-I-0067</t>
        </is>
      </c>
      <c r="B4681" s="12" t="inlineStr">
        <is>
          <t>I</t>
        </is>
      </c>
      <c r="C4681" s="12" t="inlineStr">
        <is>
          <t>Modular / portable power</t>
        </is>
      </c>
      <c r="D4681" s="12" t="inlineStr">
        <is>
          <t>Home run JB-Fuel-gas compresso-RTD02 to the control / marshalling room</t>
        </is>
      </c>
      <c r="E4681" s="12" t="inlineStr"/>
      <c r="F4681" s="12" t="inlineStr">
        <is>
          <t>SC-2 PCM + 15 kV GCB</t>
        </is>
      </c>
      <c r="G4681" s="12" t="inlineStr">
        <is>
          <t>JB-Fuel-gas compresso-RTD02</t>
        </is>
      </c>
      <c r="H4681" s="12" t="inlineStr">
        <is>
          <t>Fuel-gas compressors 3 x 100% electric</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5" t="n">
        <v>8</v>
      </c>
      <c r="U4681" s="15" t="n">
        <v>108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I-I-0068</t>
        </is>
      </c>
      <c r="B4682" s="12" t="inlineStr">
        <is>
          <t>I</t>
        </is>
      </c>
      <c r="C4682" s="12" t="inlineStr">
        <is>
          <t>Modular / portable power</t>
        </is>
      </c>
      <c r="D4682" s="12" t="inlineStr">
        <is>
          <t>L7 GB-1.1 instrumentation: gas pressure, temperatures</t>
        </is>
      </c>
      <c r="E4682" s="12" t="inlineStr">
        <is>
          <t>GBC-1</t>
        </is>
      </c>
      <c r="F4682" s="12" t="inlineStr">
        <is>
          <t xml:space="preserve">GBC-1: block GB-1 generator collector box, 480 V outdoor switchboard, </t>
        </is>
      </c>
      <c r="G4682" s="12" t="inlineStr">
        <is>
          <t>GB-1.1</t>
        </is>
      </c>
      <c r="H4682" s="12" t="inlineStr">
        <is>
          <t>GB-1.1: modular gas genset 500 kW, 480 V (block GB-1, unit 1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44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I-I-0069</t>
        </is>
      </c>
      <c r="B4683" s="12" t="inlineStr">
        <is>
          <t>I</t>
        </is>
      </c>
      <c r="C4683" s="12" t="inlineStr">
        <is>
          <t>Modular / portable power</t>
        </is>
      </c>
      <c r="D4683" s="12" t="inlineStr">
        <is>
          <t>L7 GB-1.2 instrumentation: gas pressure, temperatures</t>
        </is>
      </c>
      <c r="E4683" s="12" t="inlineStr">
        <is>
          <t>GBC-1</t>
        </is>
      </c>
      <c r="F4683" s="12" t="inlineStr">
        <is>
          <t xml:space="preserve">GBC-1: block GB-1 generator collector box, 480 V outdoor switchboard, </t>
        </is>
      </c>
      <c r="G4683" s="12" t="inlineStr">
        <is>
          <t>GB-1.2</t>
        </is>
      </c>
      <c r="H4683" s="12" t="inlineStr">
        <is>
          <t>GB-1.2: modular gas genset 500 kW, 480 V (block GB-1, unit 2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34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I-I-0070</t>
        </is>
      </c>
      <c r="B4684" s="12" t="inlineStr">
        <is>
          <t>I</t>
        </is>
      </c>
      <c r="C4684" s="12" t="inlineStr">
        <is>
          <t>Modular / portable power</t>
        </is>
      </c>
      <c r="D4684" s="12" t="inlineStr">
        <is>
          <t>L7 GB-1.3 instrumentation: gas pressure, temperatures</t>
        </is>
      </c>
      <c r="E4684" s="12" t="inlineStr">
        <is>
          <t>GBC-1</t>
        </is>
      </c>
      <c r="F4684" s="12" t="inlineStr">
        <is>
          <t xml:space="preserve">GBC-1: block GB-1 generator collector box, 480 V outdoor switchboard, </t>
        </is>
      </c>
      <c r="G4684" s="12" t="inlineStr">
        <is>
          <t>GB-1.3</t>
        </is>
      </c>
      <c r="H4684" s="12" t="inlineStr">
        <is>
          <t>GB-1.3: modular gas genset 500 kW, 480 V (block GB-1, unit 3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24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I-I-0071</t>
        </is>
      </c>
      <c r="B4685" s="12" t="inlineStr">
        <is>
          <t>I</t>
        </is>
      </c>
      <c r="C4685" s="12" t="inlineStr">
        <is>
          <t>Modular / portable power</t>
        </is>
      </c>
      <c r="D4685" s="12" t="inlineStr">
        <is>
          <t>L7 GB-1.4 instrumentation: gas pressure, temperatures</t>
        </is>
      </c>
      <c r="E4685" s="12" t="inlineStr">
        <is>
          <t>GBC-1</t>
        </is>
      </c>
      <c r="F4685" s="12" t="inlineStr">
        <is>
          <t xml:space="preserve">GBC-1: block GB-1 generator collector box, 480 V outdoor switchboard, </t>
        </is>
      </c>
      <c r="G4685" s="12" t="inlineStr">
        <is>
          <t>GB-1.4</t>
        </is>
      </c>
      <c r="H4685" s="12" t="inlineStr">
        <is>
          <t>GB-1.4: modular gas genset 500 kW, 480 V (block GB-1, unit 4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14</v>
      </c>
      <c r="U4685" s="15" t="n">
        <v>28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I-I-0072</t>
        </is>
      </c>
      <c r="B4686" s="12" t="inlineStr">
        <is>
          <t>I</t>
        </is>
      </c>
      <c r="C4686" s="12" t="inlineStr">
        <is>
          <t>Modular / portable power</t>
        </is>
      </c>
      <c r="D4686" s="12" t="inlineStr">
        <is>
          <t>L7 GB-1.5 instrumentation: gas pressure, temperatures</t>
        </is>
      </c>
      <c r="E4686" s="12" t="inlineStr">
        <is>
          <t>GBC-1</t>
        </is>
      </c>
      <c r="F4686" s="12" t="inlineStr">
        <is>
          <t xml:space="preserve">GBC-1: block GB-1 generator collector box, 480 V outdoor switchboard, </t>
        </is>
      </c>
      <c r="G4686" s="12" t="inlineStr">
        <is>
          <t>GB-1.5</t>
        </is>
      </c>
      <c r="H4686" s="12" t="inlineStr">
        <is>
          <t>GB-1.5: modular gas genset 500 kW, 480 V (block GB-1, unit 5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Tray</t>
        </is>
      </c>
      <c r="T4686" s="15" t="n">
        <v>0</v>
      </c>
      <c r="U4686" s="15" t="n">
        <v>30</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I-I-0073</t>
        </is>
      </c>
      <c r="B4687" s="12" t="inlineStr">
        <is>
          <t>I</t>
        </is>
      </c>
      <c r="C4687" s="12" t="inlineStr">
        <is>
          <t>Modular / portable power</t>
        </is>
      </c>
      <c r="D4687" s="12" t="inlineStr">
        <is>
          <t>L7 GB-2.1 instrumentation: gas pressure, temperatures</t>
        </is>
      </c>
      <c r="E4687" s="12" t="inlineStr">
        <is>
          <t>GBC-2</t>
        </is>
      </c>
      <c r="F4687" s="12" t="inlineStr">
        <is>
          <t xml:space="preserve">GBC-2: block GB-2 generator collector box, 480 V outdoor switchboard, </t>
        </is>
      </c>
      <c r="G4687" s="12" t="inlineStr">
        <is>
          <t>GB-2.1</t>
        </is>
      </c>
      <c r="H4687" s="12" t="inlineStr">
        <is>
          <t>GB-2.1: modular gas genset 500 kW, 480 V (block GB-2, unit 1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44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I-I-0074</t>
        </is>
      </c>
      <c r="B4688" s="12" t="inlineStr">
        <is>
          <t>I</t>
        </is>
      </c>
      <c r="C4688" s="12" t="inlineStr">
        <is>
          <t>Modular / portable power</t>
        </is>
      </c>
      <c r="D4688" s="12" t="inlineStr">
        <is>
          <t>L7 GB-2.2 instrumentation: gas pressure, temperatures</t>
        </is>
      </c>
      <c r="E4688" s="12" t="inlineStr">
        <is>
          <t>GBC-2</t>
        </is>
      </c>
      <c r="F4688" s="12" t="inlineStr">
        <is>
          <t xml:space="preserve">GBC-2: block GB-2 generator collector box, 480 V outdoor switchboard, </t>
        </is>
      </c>
      <c r="G4688" s="12" t="inlineStr">
        <is>
          <t>GB-2.2</t>
        </is>
      </c>
      <c r="H4688" s="12" t="inlineStr">
        <is>
          <t>GB-2.2: modular gas genset 500 kW, 480 V (block GB-2, unit 2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34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I-I-0075</t>
        </is>
      </c>
      <c r="B4689" s="12" t="inlineStr">
        <is>
          <t>I</t>
        </is>
      </c>
      <c r="C4689" s="12" t="inlineStr">
        <is>
          <t>Modular / portable power</t>
        </is>
      </c>
      <c r="D4689" s="12" t="inlineStr">
        <is>
          <t>L7 GB-2.3 instrumentation: gas pressure, temperatures</t>
        </is>
      </c>
      <c r="E4689" s="12" t="inlineStr">
        <is>
          <t>GBC-2</t>
        </is>
      </c>
      <c r="F4689" s="12" t="inlineStr">
        <is>
          <t xml:space="preserve">GBC-2: block GB-2 generator collector box, 480 V outdoor switchboard, </t>
        </is>
      </c>
      <c r="G4689" s="12" t="inlineStr">
        <is>
          <t>GB-2.3</t>
        </is>
      </c>
      <c r="H4689" s="12" t="inlineStr">
        <is>
          <t>GB-2.3: modular gas genset 500 kW, 480 V (block GB-2, unit 3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24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I-I-0076</t>
        </is>
      </c>
      <c r="B4690" s="12" t="inlineStr">
        <is>
          <t>I</t>
        </is>
      </c>
      <c r="C4690" s="12" t="inlineStr">
        <is>
          <t>Modular / portable power</t>
        </is>
      </c>
      <c r="D4690" s="12" t="inlineStr">
        <is>
          <t>L7 GB-2.4 instrumentation: gas pressure, temperatures</t>
        </is>
      </c>
      <c r="E4690" s="12" t="inlineStr">
        <is>
          <t>GBC-2</t>
        </is>
      </c>
      <c r="F4690" s="12" t="inlineStr">
        <is>
          <t xml:space="preserve">GBC-2: block GB-2 generator collector box, 480 V outdoor switchboard, </t>
        </is>
      </c>
      <c r="G4690" s="12" t="inlineStr">
        <is>
          <t>GB-2.4</t>
        </is>
      </c>
      <c r="H4690" s="12" t="inlineStr">
        <is>
          <t>GB-2.4: modular gas genset 500 kW, 480 V (block GB-2, unit 4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Surface</t>
        </is>
      </c>
      <c r="T4690" s="15" t="n">
        <v>14</v>
      </c>
      <c r="U4690" s="15" t="n">
        <v>28</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I-I-0077</t>
        </is>
      </c>
      <c r="B4691" s="12" t="inlineStr">
        <is>
          <t>I</t>
        </is>
      </c>
      <c r="C4691" s="12" t="inlineStr">
        <is>
          <t>Modular / portable power</t>
        </is>
      </c>
      <c r="D4691" s="12" t="inlineStr">
        <is>
          <t>L7 GB-2.5 instrumentation: gas pressure, temperatures</t>
        </is>
      </c>
      <c r="E4691" s="12" t="inlineStr">
        <is>
          <t>GBC-2</t>
        </is>
      </c>
      <c r="F4691" s="12" t="inlineStr">
        <is>
          <t xml:space="preserve">GBC-2: block GB-2 generator collector box, 480 V outdoor switchboard, </t>
        </is>
      </c>
      <c r="G4691" s="12" t="inlineStr">
        <is>
          <t>GB-2.5</t>
        </is>
      </c>
      <c r="H4691" s="12" t="inlineStr">
        <is>
          <t>GB-2.5: modular gas genset 500 kW, 480 V (block GB-2, unit 5 of 5)</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Tray</t>
        </is>
      </c>
      <c r="T4691" s="15" t="n">
        <v>0</v>
      </c>
      <c r="U4691" s="15" t="n">
        <v>30</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I-I-0078</t>
        </is>
      </c>
      <c r="B4692" s="12" t="inlineStr">
        <is>
          <t>I</t>
        </is>
      </c>
      <c r="C4692" s="12" t="inlineStr">
        <is>
          <t>Modular / portable power</t>
        </is>
      </c>
      <c r="D4692" s="12" t="inlineStr">
        <is>
          <t>L7 GB-3.1 instrumentation: gas pressure, temperatures</t>
        </is>
      </c>
      <c r="E4692" s="12" t="inlineStr">
        <is>
          <t>GBC-3</t>
        </is>
      </c>
      <c r="F4692" s="12" t="inlineStr">
        <is>
          <t xml:space="preserve">GBC-3: block GB-3 generator collector box, 480 V outdoor switchboard, </t>
        </is>
      </c>
      <c r="G4692" s="12" t="inlineStr">
        <is>
          <t>GB-3.1</t>
        </is>
      </c>
      <c r="H4692" s="12" t="inlineStr">
        <is>
          <t>GB-3.1: modular gas genset 500 kW, 480 V (block GB-3, unit 1 of 5)</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Surface</t>
        </is>
      </c>
      <c r="T4692" s="15" t="n">
        <v>44</v>
      </c>
      <c r="U4692" s="15" t="n">
        <v>28</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I-I-0079</t>
        </is>
      </c>
      <c r="B4693" s="12" t="inlineStr">
        <is>
          <t>I</t>
        </is>
      </c>
      <c r="C4693" s="12" t="inlineStr">
        <is>
          <t>Modular / portable power</t>
        </is>
      </c>
      <c r="D4693" s="12" t="inlineStr">
        <is>
          <t>L7 GB-3.2 instrumentation: gas pressure, temperatures</t>
        </is>
      </c>
      <c r="E4693" s="12" t="inlineStr">
        <is>
          <t>GBC-3</t>
        </is>
      </c>
      <c r="F4693" s="12" t="inlineStr">
        <is>
          <t xml:space="preserve">GBC-3: block GB-3 generator collector box, 480 V outdoor switchboard, </t>
        </is>
      </c>
      <c r="G4693" s="12" t="inlineStr">
        <is>
          <t>GB-3.2</t>
        </is>
      </c>
      <c r="H4693" s="12" t="inlineStr">
        <is>
          <t>GB-3.2: modular gas genset 500 kW, 480 V (block GB-3, unit 2 of 5)</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Surface</t>
        </is>
      </c>
      <c r="T4693" s="15" t="n">
        <v>34</v>
      </c>
      <c r="U4693" s="15" t="n">
        <v>28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I-I-0080</t>
        </is>
      </c>
      <c r="B4694" s="12" t="inlineStr">
        <is>
          <t>I</t>
        </is>
      </c>
      <c r="C4694" s="12" t="inlineStr">
        <is>
          <t>Modular / portable power</t>
        </is>
      </c>
      <c r="D4694" s="12" t="inlineStr">
        <is>
          <t>L7 GB-3.3 instrumentation: gas pressure, temperatures</t>
        </is>
      </c>
      <c r="E4694" s="12" t="inlineStr">
        <is>
          <t>GBC-3</t>
        </is>
      </c>
      <c r="F4694" s="12" t="inlineStr">
        <is>
          <t xml:space="preserve">GBC-3: block GB-3 generator collector box, 480 V outdoor switchboard, </t>
        </is>
      </c>
      <c r="G4694" s="12" t="inlineStr">
        <is>
          <t>GB-3.3</t>
        </is>
      </c>
      <c r="H4694" s="12" t="inlineStr">
        <is>
          <t>GB-3.3: modular gas genset 500 kW, 480 V (block GB-3, unit 3 of 5)</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Surface</t>
        </is>
      </c>
      <c r="T4694" s="15" t="n">
        <v>24</v>
      </c>
      <c r="U4694" s="15" t="n">
        <v>28</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I-I-0081</t>
        </is>
      </c>
      <c r="B4695" s="12" t="inlineStr">
        <is>
          <t>I</t>
        </is>
      </c>
      <c r="C4695" s="12" t="inlineStr">
        <is>
          <t>Modular / portable power</t>
        </is>
      </c>
      <c r="D4695" s="12" t="inlineStr">
        <is>
          <t>L7 GB-3.4 instrumentation: gas pressure, temperatures</t>
        </is>
      </c>
      <c r="E4695" s="12" t="inlineStr">
        <is>
          <t>GBC-3</t>
        </is>
      </c>
      <c r="F4695" s="12" t="inlineStr">
        <is>
          <t xml:space="preserve">GBC-3: block GB-3 generator collector box, 480 V outdoor switchboard, </t>
        </is>
      </c>
      <c r="G4695" s="12" t="inlineStr">
        <is>
          <t>GB-3.4</t>
        </is>
      </c>
      <c r="H4695" s="12" t="inlineStr">
        <is>
          <t>GB-3.4: modular gas genset 500 kW, 480 V (block GB-3, unit 4 of 5)</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Surface</t>
        </is>
      </c>
      <c r="T4695" s="15" t="n">
        <v>14</v>
      </c>
      <c r="U4695" s="15" t="n">
        <v>28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I-I-0082</t>
        </is>
      </c>
      <c r="B4696" s="12" t="inlineStr">
        <is>
          <t>I</t>
        </is>
      </c>
      <c r="C4696" s="12" t="inlineStr">
        <is>
          <t>Modular / portable power</t>
        </is>
      </c>
      <c r="D4696" s="12" t="inlineStr">
        <is>
          <t>L7 GB-3.5 instrumentation: gas pressure, temperatures</t>
        </is>
      </c>
      <c r="E4696" s="12" t="inlineStr">
        <is>
          <t>GBC-3</t>
        </is>
      </c>
      <c r="F4696" s="12" t="inlineStr">
        <is>
          <t xml:space="preserve">GBC-3: block GB-3 generator collector box, 480 V outdoor switchboard, </t>
        </is>
      </c>
      <c r="G4696" s="12" t="inlineStr">
        <is>
          <t>GB-3.5</t>
        </is>
      </c>
      <c r="H4696" s="12" t="inlineStr">
        <is>
          <t>GB-3.5: modular gas genset 500 kW, 480 V (block GB-3, unit 5 of 5)</t>
        </is>
      </c>
      <c r="I4696" s="12" t="inlineStr">
        <is>
          <t>Instrumentation</t>
        </is>
      </c>
      <c r="J4696" s="12" t="inlineStr">
        <is>
          <t>Instrumentation ITC / PLTC, IS, #18 shielded pairs, blue jacket</t>
        </is>
      </c>
      <c r="K4696" s="12" t="inlineStr">
        <is>
          <t>ITC|4 pr|18</t>
        </is>
      </c>
      <c r="L4696" s="12" t="inlineStr">
        <is>
          <t>4 pr</t>
        </is>
      </c>
      <c r="M4696" s="12" t="inlineStr">
        <is>
          <t>18</t>
        </is>
      </c>
      <c r="N4696" s="12" t="n">
        <v>1</v>
      </c>
      <c r="O4696" s="12" t="n">
        <v>1</v>
      </c>
      <c r="P4696" s="12" t="n"/>
      <c r="Q4696" s="12" t="n"/>
      <c r="R4696" s="12" t="n"/>
      <c r="S4696" s="12" t="inlineStr">
        <is>
          <t>Tray</t>
        </is>
      </c>
      <c r="T4696" s="15" t="n">
        <v>0</v>
      </c>
      <c r="U4696" s="15" t="n">
        <v>30</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I-I-0083</t>
        </is>
      </c>
      <c r="B4697" s="12" t="inlineStr">
        <is>
          <t>I</t>
        </is>
      </c>
      <c r="C4697" s="12" t="inlineStr">
        <is>
          <t>Modular / portable power</t>
        </is>
      </c>
      <c r="D4697" s="12" t="inlineStr">
        <is>
          <t>L7 GB-4.1 instrumentation: gas pressure, temperatures</t>
        </is>
      </c>
      <c r="E4697" s="12" t="inlineStr">
        <is>
          <t>GBC-4</t>
        </is>
      </c>
      <c r="F4697" s="12" t="inlineStr">
        <is>
          <t xml:space="preserve">GBC-4: block GB-4 generator collector box, 480 V outdoor switchboard, </t>
        </is>
      </c>
      <c r="G4697" s="12" t="inlineStr">
        <is>
          <t>GB-4.1</t>
        </is>
      </c>
      <c r="H4697" s="12" t="inlineStr">
        <is>
          <t>GB-4.1: modular gas genset 500 kW, 480 V (block GB-4, unit 1 of 5)</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Surface</t>
        </is>
      </c>
      <c r="T4697" s="15" t="n">
        <v>34</v>
      </c>
      <c r="U4697" s="15" t="n">
        <v>36</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I-I-0084</t>
        </is>
      </c>
      <c r="B4698" s="12" t="inlineStr">
        <is>
          <t>I</t>
        </is>
      </c>
      <c r="C4698" s="12" t="inlineStr">
        <is>
          <t>Modular / portable power</t>
        </is>
      </c>
      <c r="D4698" s="12" t="inlineStr">
        <is>
          <t>L7 GB-4.2 instrumentation: gas pressure, temperatures</t>
        </is>
      </c>
      <c r="E4698" s="12" t="inlineStr">
        <is>
          <t>GBC-4</t>
        </is>
      </c>
      <c r="F4698" s="12" t="inlineStr">
        <is>
          <t xml:space="preserve">GBC-4: block GB-4 generator collector box, 480 V outdoor switchboard, </t>
        </is>
      </c>
      <c r="G4698" s="12" t="inlineStr">
        <is>
          <t>GB-4.2</t>
        </is>
      </c>
      <c r="H4698" s="12" t="inlineStr">
        <is>
          <t>GB-4.2: modular gas genset 500 kW, 480 V (block GB-4, unit 2 of 5)</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Surface</t>
        </is>
      </c>
      <c r="T4698" s="15" t="n">
        <v>34</v>
      </c>
      <c r="U4698" s="15" t="n">
        <v>28</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I-I-0085</t>
        </is>
      </c>
      <c r="B4699" s="12" t="inlineStr">
        <is>
          <t>I</t>
        </is>
      </c>
      <c r="C4699" s="12" t="inlineStr">
        <is>
          <t>Modular / portable power</t>
        </is>
      </c>
      <c r="D4699" s="12" t="inlineStr">
        <is>
          <t>L7 GB-4.3 instrumentation: gas pressure, temperatures</t>
        </is>
      </c>
      <c r="E4699" s="12" t="inlineStr">
        <is>
          <t>GBC-4</t>
        </is>
      </c>
      <c r="F4699" s="12" t="inlineStr">
        <is>
          <t xml:space="preserve">GBC-4: block GB-4 generator collector box, 480 V outdoor switchboard, </t>
        </is>
      </c>
      <c r="G4699" s="12" t="inlineStr">
        <is>
          <t>GB-4.3</t>
        </is>
      </c>
      <c r="H4699" s="12" t="inlineStr">
        <is>
          <t>GB-4.3: modular gas genset 500 kW, 480 V (block GB-4, unit 3 of 5)</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Surface</t>
        </is>
      </c>
      <c r="T4699" s="15" t="n">
        <v>24</v>
      </c>
      <c r="U4699" s="15" t="n">
        <v>28</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I-I-0086</t>
        </is>
      </c>
      <c r="B4700" s="12" t="inlineStr">
        <is>
          <t>I</t>
        </is>
      </c>
      <c r="C4700" s="12" t="inlineStr">
        <is>
          <t>Modular / portable power</t>
        </is>
      </c>
      <c r="D4700" s="12" t="inlineStr">
        <is>
          <t>L7 GB-4.4 instrumentation: gas pressure, temperatures</t>
        </is>
      </c>
      <c r="E4700" s="12" t="inlineStr">
        <is>
          <t>GBC-4</t>
        </is>
      </c>
      <c r="F4700" s="12" t="inlineStr">
        <is>
          <t xml:space="preserve">GBC-4: block GB-4 generator collector box, 480 V outdoor switchboard, </t>
        </is>
      </c>
      <c r="G4700" s="12" t="inlineStr">
        <is>
          <t>GB-4.4</t>
        </is>
      </c>
      <c r="H4700" s="12" t="inlineStr">
        <is>
          <t>GB-4.4: modular gas genset 500 kW, 480 V (block GB-4, unit 4 of 5)</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Surface</t>
        </is>
      </c>
      <c r="T4700" s="15" t="n">
        <v>14</v>
      </c>
      <c r="U4700" s="15" t="n">
        <v>28</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I-I-0087</t>
        </is>
      </c>
      <c r="B4701" s="12" t="inlineStr">
        <is>
          <t>I</t>
        </is>
      </c>
      <c r="C4701" s="12" t="inlineStr">
        <is>
          <t>Modular / portable power</t>
        </is>
      </c>
      <c r="D4701" s="12" t="inlineStr">
        <is>
          <t>L7 GB-4.5 instrumentation: gas pressure, temperatures</t>
        </is>
      </c>
      <c r="E4701" s="12" t="inlineStr">
        <is>
          <t>GBC-4</t>
        </is>
      </c>
      <c r="F4701" s="12" t="inlineStr">
        <is>
          <t xml:space="preserve">GBC-4: block GB-4 generator collector box, 480 V outdoor switchboard, </t>
        </is>
      </c>
      <c r="G4701" s="12" t="inlineStr">
        <is>
          <t>GB-4.5</t>
        </is>
      </c>
      <c r="H4701" s="12" t="inlineStr">
        <is>
          <t>GB-4.5: modular gas genset 500 kW, 480 V (block GB-4, unit 5 of 5)</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Tray</t>
        </is>
      </c>
      <c r="T4701" s="15" t="n">
        <v>0</v>
      </c>
      <c r="U4701" s="15" t="n">
        <v>30</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I-I-0088</t>
        </is>
      </c>
      <c r="B4702" s="12" t="inlineStr">
        <is>
          <t>I</t>
        </is>
      </c>
      <c r="C4702" s="12" t="inlineStr">
        <is>
          <t>Modular / portable power</t>
        </is>
      </c>
      <c r="D4702" s="12" t="inlineStr">
        <is>
          <t>Instrumentation</t>
        </is>
      </c>
      <c r="E4702" s="12" t="inlineStr"/>
      <c r="F4702" s="12" t="inlineStr">
        <is>
          <t>PCM: power control module</t>
        </is>
      </c>
      <c r="G4702" s="12" t="inlineStr"/>
      <c r="H4702" s="12" t="inlineStr">
        <is>
          <t>Gas conditioning skid</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Duct bank</t>
        </is>
      </c>
      <c r="T4702" s="15" t="n">
        <v>258</v>
      </c>
      <c r="U4702" s="15" t="n">
        <v>172</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I-I-0089</t>
        </is>
      </c>
      <c r="B4703" s="12" t="inlineStr">
        <is>
          <t>I</t>
        </is>
      </c>
      <c r="C4703" s="12" t="inlineStr">
        <is>
          <t>Modular / portable power</t>
        </is>
      </c>
      <c r="D4703" s="12" t="inlineStr">
        <is>
          <t>Instrumentation</t>
        </is>
      </c>
      <c r="E4703" s="12" t="inlineStr"/>
      <c r="F4703" s="12" t="inlineStr">
        <is>
          <t>PCM: power control module</t>
        </is>
      </c>
      <c r="G4703" s="12" t="inlineStr"/>
      <c r="H4703" s="12" t="inlineStr">
        <is>
          <t>Gas conditioning skid</t>
        </is>
      </c>
      <c r="I4703" s="12" t="inlineStr">
        <is>
          <t>Instrumentation</t>
        </is>
      </c>
      <c r="J4703" s="12" t="inlineStr">
        <is>
          <t>Instrumentation ITC / PLTC, IS, #18 shielded pairs, blue jacket</t>
        </is>
      </c>
      <c r="K4703" s="12" t="inlineStr">
        <is>
          <t>ITC|12 pr|18</t>
        </is>
      </c>
      <c r="L4703" s="12" t="inlineStr">
        <is>
          <t>12 pr</t>
        </is>
      </c>
      <c r="M4703" s="12" t="inlineStr">
        <is>
          <t>18</t>
        </is>
      </c>
      <c r="N4703" s="12" t="n">
        <v>1</v>
      </c>
      <c r="O4703" s="12" t="n">
        <v>1</v>
      </c>
      <c r="P4703" s="12" t="n"/>
      <c r="Q4703" s="12" t="n"/>
      <c r="R4703" s="12" t="n"/>
      <c r="S4703" s="12" t="inlineStr">
        <is>
          <t>Duct bank</t>
        </is>
      </c>
      <c r="T4703" s="15" t="n">
        <v>258</v>
      </c>
      <c r="U4703" s="15" t="n">
        <v>172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I-I-0090</t>
        </is>
      </c>
      <c r="B4704" s="12" t="inlineStr">
        <is>
          <t>I</t>
        </is>
      </c>
      <c r="C4704" s="12" t="inlineStr">
        <is>
          <t>Modular / portable power</t>
        </is>
      </c>
      <c r="D4704" s="12" t="inlineStr">
        <is>
          <t>IG-GSU monitoring: temperatures, gas relay, oil level</t>
        </is>
      </c>
      <c r="E4704" s="12" t="inlineStr">
        <is>
          <t>IG-1</t>
        </is>
      </c>
      <c r="F4704" s="12" t="inlineStr">
        <is>
          <t>IG-1: industrial gas-turbine installation, ~50 MW class (~50 MW)</t>
        </is>
      </c>
      <c r="G4704" s="12" t="inlineStr">
        <is>
          <t>IG-GSU</t>
        </is>
      </c>
      <c r="H4704" s="12" t="inlineStr">
        <is>
          <t>IG-GSU: 13.8 / 34.5 kV step-up, ~60 MVA (IG-1 unit step-up)</t>
        </is>
      </c>
      <c r="I4704" s="12" t="inlineStr">
        <is>
          <t>Instrumentation</t>
        </is>
      </c>
      <c r="J4704" s="12" t="inlineStr">
        <is>
          <t>Instrumentation ITC / PLTC, IS, #18 shielded pairs, blue jacket</t>
        </is>
      </c>
      <c r="K4704" s="12" t="inlineStr">
        <is>
          <t>ITC|4 pr|18</t>
        </is>
      </c>
      <c r="L4704" s="12" t="inlineStr">
        <is>
          <t>4 pr</t>
        </is>
      </c>
      <c r="M4704" s="12" t="inlineStr">
        <is>
          <t>18</t>
        </is>
      </c>
      <c r="N4704" s="12" t="n">
        <v>1</v>
      </c>
      <c r="O4704" s="12" t="n">
        <v>1</v>
      </c>
      <c r="P4704" s="12" t="n"/>
      <c r="Q4704" s="12" t="n"/>
      <c r="R4704" s="12" t="n"/>
      <c r="S4704" s="12" t="inlineStr">
        <is>
          <t>Duct bank</t>
        </is>
      </c>
      <c r="T4704" s="15" t="n">
        <v>26</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I-I-0091</t>
        </is>
      </c>
      <c r="B4705" s="12" t="inlineStr">
        <is>
          <t>I</t>
        </is>
      </c>
      <c r="C4705" s="12" t="inlineStr">
        <is>
          <t>Modular / portable power</t>
        </is>
      </c>
      <c r="D4705" s="12" t="inlineStr">
        <is>
          <t>Analog instrument to JB JB-MOB-1 gas regulato-AI01: 20 x 1 pr (field cables)</t>
        </is>
      </c>
      <c r="E4705" s="12" t="inlineStr"/>
      <c r="F4705" s="12" t="inlineStr">
        <is>
          <t>MOB-1 gas regulator / meter skid (flexible hose to the trailer)</t>
        </is>
      </c>
      <c r="G4705" s="12" t="inlineStr">
        <is>
          <t>JB-MOB-1 gas regulato-AI01</t>
        </is>
      </c>
      <c r="H4705" s="12" t="inlineStr">
        <is>
          <t>MOB-1 gas regulator / meter skid (flexible hose to the trailer)</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20</v>
      </c>
      <c r="O4705" s="12" t="n">
        <v>1</v>
      </c>
      <c r="P4705" s="12" t="n"/>
      <c r="Q4705" s="12" t="n"/>
      <c r="R4705" s="12" t="n"/>
      <c r="S4705" s="12" t="inlineStr">
        <is>
          <t>Tray / conduit</t>
        </is>
      </c>
      <c r="T4705" s="15" t="n">
        <v>40</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I-I-0092</t>
        </is>
      </c>
      <c r="B4706" s="12" t="inlineStr">
        <is>
          <t>I</t>
        </is>
      </c>
      <c r="C4706" s="12" t="inlineStr">
        <is>
          <t>Modular / portable power</t>
        </is>
      </c>
      <c r="D4706" s="12" t="inlineStr">
        <is>
          <t>Home run JB-MOB-1 gas regulato-AI01 to the control / marshalling room</t>
        </is>
      </c>
      <c r="E4706" s="12" t="inlineStr">
        <is>
          <t>PAD-EH</t>
        </is>
      </c>
      <c r="F4706" s="12" t="inlineStr">
        <is>
          <t>PAD-EH 13.8 kV switchgear e-house</t>
        </is>
      </c>
      <c r="G4706" s="12" t="inlineStr">
        <is>
          <t>JB-MOB-1 gas regulato-AI01</t>
        </is>
      </c>
      <c r="H4706" s="12" t="inlineStr">
        <is>
          <t>MOB-1 gas regulator / meter skid (flexible hose to the trailer)</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284</v>
      </c>
      <c r="U4706" s="15" t="n">
        <v>92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I-I-0093</t>
        </is>
      </c>
      <c r="B4707" s="12" t="inlineStr">
        <is>
          <t>I</t>
        </is>
      </c>
      <c r="C4707" s="12" t="inlineStr">
        <is>
          <t>Modular / portable power</t>
        </is>
      </c>
      <c r="D4707" s="12" t="inlineStr">
        <is>
          <t>Discrete device to JB JB-MOB-1 gas regulato-DI01: 20 x 1 pr (field cables)</t>
        </is>
      </c>
      <c r="E4707" s="12" t="inlineStr"/>
      <c r="F4707" s="12" t="inlineStr">
        <is>
          <t>MOB-1 gas regulator / meter skid (flexible hose to the trailer)</t>
        </is>
      </c>
      <c r="G4707" s="12" t="inlineStr">
        <is>
          <t>JB-MOB-1 gas regulato-DI01</t>
        </is>
      </c>
      <c r="H4707" s="12" t="inlineStr">
        <is>
          <t>MOB-1 gas regulator / meter skid (flexible hose to the trailer)</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20</v>
      </c>
      <c r="O4707" s="12" t="n">
        <v>1</v>
      </c>
      <c r="P4707" s="12" t="n"/>
      <c r="Q4707" s="12" t="n"/>
      <c r="R4707" s="12" t="n"/>
      <c r="S4707" s="12" t="inlineStr">
        <is>
          <t>Tray / conduit</t>
        </is>
      </c>
      <c r="T4707" s="15" t="n">
        <v>40</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I-I-0094</t>
        </is>
      </c>
      <c r="B4708" s="12" t="inlineStr">
        <is>
          <t>I</t>
        </is>
      </c>
      <c r="C4708" s="12" t="inlineStr">
        <is>
          <t>Modular / portable power</t>
        </is>
      </c>
      <c r="D4708" s="12" t="inlineStr">
        <is>
          <t>Home run JB-MOB-1 gas regulato-DI01 to the control / marshalling room</t>
        </is>
      </c>
      <c r="E4708" s="12" t="inlineStr">
        <is>
          <t>PAD-EH</t>
        </is>
      </c>
      <c r="F4708" s="12" t="inlineStr">
        <is>
          <t>PAD-EH 13.8 kV switchgear e-house</t>
        </is>
      </c>
      <c r="G4708" s="12" t="inlineStr">
        <is>
          <t>JB-MOB-1 gas regulato-DI01</t>
        </is>
      </c>
      <c r="H4708" s="12" t="inlineStr">
        <is>
          <t>MOB-1 gas regulator / meter skid (flexible hose to the trailer)</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284</v>
      </c>
      <c r="U4708" s="15" t="n">
        <v>92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I-I-0095</t>
        </is>
      </c>
      <c r="B4709" s="12" t="inlineStr">
        <is>
          <t>I</t>
        </is>
      </c>
      <c r="C4709" s="12" t="inlineStr">
        <is>
          <t>Modular / portable power</t>
        </is>
      </c>
      <c r="D4709" s="12" t="inlineStr">
        <is>
          <t>Analog instrument to JB JB-MOB-1-AI01: 20 x 1 pr (field cables)</t>
        </is>
      </c>
      <c r="E4709" s="12" t="inlineStr">
        <is>
          <t>MOB-1</t>
        </is>
      </c>
      <c r="F4709" s="12" t="inlineStr">
        <is>
          <t>MOB-1: trailer genset</t>
        </is>
      </c>
      <c r="G4709" s="12" t="inlineStr">
        <is>
          <t>JB-MOB-1-AI01</t>
        </is>
      </c>
      <c r="H4709" s="12" t="inlineStr">
        <is>
          <t>MOB-1: trailer genset</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20</v>
      </c>
      <c r="O4709" s="12" t="n">
        <v>1</v>
      </c>
      <c r="P4709" s="12" t="n"/>
      <c r="Q4709" s="12" t="n"/>
      <c r="R4709" s="12" t="n"/>
      <c r="S4709" s="12" t="inlineStr">
        <is>
          <t>Tray / conduit</t>
        </is>
      </c>
      <c r="T4709" s="15" t="n">
        <v>66</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I-I-0096</t>
        </is>
      </c>
      <c r="B4710" s="12" t="inlineStr">
        <is>
          <t>I</t>
        </is>
      </c>
      <c r="C4710" s="12" t="inlineStr">
        <is>
          <t>Modular / portable power</t>
        </is>
      </c>
      <c r="D4710" s="12" t="inlineStr">
        <is>
          <t>Home run JB-MOB-1-AI01 to the control / marshalling room</t>
        </is>
      </c>
      <c r="E4710" s="12" t="inlineStr">
        <is>
          <t>PAD-EH</t>
        </is>
      </c>
      <c r="F4710" s="12" t="inlineStr">
        <is>
          <t>PAD-EH 13.8 kV switchgear e-house</t>
        </is>
      </c>
      <c r="G4710" s="12" t="inlineStr">
        <is>
          <t>JB-MOB-1-AI01</t>
        </is>
      </c>
      <c r="H4710" s="12" t="inlineStr">
        <is>
          <t>MOB-1: trailer genset</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266</v>
      </c>
      <c r="U4710" s="15" t="n">
        <v>32</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I-I-0097</t>
        </is>
      </c>
      <c r="B4711" s="12" t="inlineStr">
        <is>
          <t>I</t>
        </is>
      </c>
      <c r="C4711" s="12" t="inlineStr">
        <is>
          <t>Modular / portable power</t>
        </is>
      </c>
      <c r="D4711" s="12" t="inlineStr">
        <is>
          <t>Discrete device to JB JB-MOB-1-DI01: 20 x 1 pr (field cables)</t>
        </is>
      </c>
      <c r="E4711" s="12" t="inlineStr">
        <is>
          <t>MOB-1</t>
        </is>
      </c>
      <c r="F4711" s="12" t="inlineStr">
        <is>
          <t>MOB-1: trailer genset</t>
        </is>
      </c>
      <c r="G4711" s="12" t="inlineStr">
        <is>
          <t>JB-MOB-1-DI01</t>
        </is>
      </c>
      <c r="H4711" s="12" t="inlineStr">
        <is>
          <t>MOB-1: trailer genset</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20</v>
      </c>
      <c r="O4711" s="12" t="n">
        <v>1</v>
      </c>
      <c r="P4711" s="12" t="n"/>
      <c r="Q4711" s="12" t="n"/>
      <c r="R4711" s="12" t="n"/>
      <c r="S4711" s="12" t="inlineStr">
        <is>
          <t>Tray / conduit</t>
        </is>
      </c>
      <c r="T4711" s="15" t="n">
        <v>66</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I-I-0098</t>
        </is>
      </c>
      <c r="B4712" s="12" t="inlineStr">
        <is>
          <t>I</t>
        </is>
      </c>
      <c r="C4712" s="12" t="inlineStr">
        <is>
          <t>Modular / portable power</t>
        </is>
      </c>
      <c r="D4712" s="12" t="inlineStr">
        <is>
          <t>Home run JB-MOB-1-DI01 to the control / marshalling room</t>
        </is>
      </c>
      <c r="E4712" s="12" t="inlineStr">
        <is>
          <t>PAD-EH</t>
        </is>
      </c>
      <c r="F4712" s="12" t="inlineStr">
        <is>
          <t>PAD-EH 13.8 kV switchgear e-house</t>
        </is>
      </c>
      <c r="G4712" s="12" t="inlineStr">
        <is>
          <t>JB-MOB-1-DI01</t>
        </is>
      </c>
      <c r="H4712" s="12" t="inlineStr">
        <is>
          <t>MOB-1: trailer genset</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266</v>
      </c>
      <c r="U4712" s="15" t="n">
        <v>32</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I-I-0099</t>
        </is>
      </c>
      <c r="B4713" s="12" t="inlineStr">
        <is>
          <t>I</t>
        </is>
      </c>
      <c r="C4713" s="12" t="inlineStr">
        <is>
          <t>Modular / portable power</t>
        </is>
      </c>
      <c r="D4713" s="12" t="inlineStr">
        <is>
          <t>MOD-GT1 monitoring: temperatures, gas relay, oil level</t>
        </is>
      </c>
      <c r="E4713" s="12" t="inlineStr">
        <is>
          <t>MOD-EH</t>
        </is>
      </c>
      <c r="F4713" s="12" t="inlineStr">
        <is>
          <t>MOD-EH: 34.5 kV modular collector e-house (2 bus sections + 13.8 kV st</t>
        </is>
      </c>
      <c r="G4713" s="12" t="inlineStr">
        <is>
          <t>MOD-GT1</t>
        </is>
      </c>
      <c r="H4713" s="12" t="inlineStr">
        <is>
          <t>MOD-GT1: 34.5 kV zigzag grounding transformer, MOD-EH bus 1</t>
        </is>
      </c>
      <c r="I4713" s="12" t="inlineStr">
        <is>
          <t>Instrumentation</t>
        </is>
      </c>
      <c r="J4713" s="12" t="inlineStr">
        <is>
          <t>Instrumentation ITC / PLTC, IS, #18 shielded pairs, blue jacket</t>
        </is>
      </c>
      <c r="K4713" s="12" t="inlineStr">
        <is>
          <t>ITC|4 pr|18</t>
        </is>
      </c>
      <c r="L4713" s="12" t="inlineStr">
        <is>
          <t>4 pr</t>
        </is>
      </c>
      <c r="M4713" s="12" t="inlineStr">
        <is>
          <t>18</t>
        </is>
      </c>
      <c r="N4713" s="12" t="n">
        <v>1</v>
      </c>
      <c r="O4713" s="12" t="n">
        <v>1</v>
      </c>
      <c r="P4713" s="12" t="n"/>
      <c r="Q4713" s="12" t="n"/>
      <c r="R4713" s="12" t="n"/>
      <c r="S4713" s="12" t="inlineStr">
        <is>
          <t>Riser</t>
        </is>
      </c>
      <c r="T4713" s="15" t="n">
        <v>4</v>
      </c>
      <c r="U4713" s="15" t="n">
        <v>32</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I-I-0100</t>
        </is>
      </c>
      <c r="B4714" s="12" t="inlineStr">
        <is>
          <t>I</t>
        </is>
      </c>
      <c r="C4714" s="12" t="inlineStr">
        <is>
          <t>Modular / portable power</t>
        </is>
      </c>
      <c r="D4714" s="12" t="inlineStr">
        <is>
          <t>MOD-GT2 monitoring: temperatures, gas relay, oil level</t>
        </is>
      </c>
      <c r="E4714" s="12" t="inlineStr">
        <is>
          <t>MOD-EH</t>
        </is>
      </c>
      <c r="F4714" s="12" t="inlineStr">
        <is>
          <t>MOD-EH: 34.5 kV modular collector e-house (2 bus sections + 13.8 kV st</t>
        </is>
      </c>
      <c r="G4714" s="12" t="inlineStr">
        <is>
          <t>MOD-GT2</t>
        </is>
      </c>
      <c r="H4714" s="12" t="inlineStr">
        <is>
          <t>MOD-GT2: 34.5 kV zigzag grounding transformer, MOD-EH bus 2</t>
        </is>
      </c>
      <c r="I4714" s="12" t="inlineStr">
        <is>
          <t>Instrumentation</t>
        </is>
      </c>
      <c r="J4714" s="12" t="inlineStr">
        <is>
          <t>Instrumentation ITC / PLTC, IS, #18 shielded pairs, blue jacket</t>
        </is>
      </c>
      <c r="K4714" s="12" t="inlineStr">
        <is>
          <t>ITC|4 pr|18</t>
        </is>
      </c>
      <c r="L4714" s="12" t="inlineStr">
        <is>
          <t>4 pr</t>
        </is>
      </c>
      <c r="M4714" s="12" t="inlineStr">
        <is>
          <t>18</t>
        </is>
      </c>
      <c r="N4714" s="12" t="n">
        <v>1</v>
      </c>
      <c r="O4714" s="12" t="n">
        <v>1</v>
      </c>
      <c r="P4714" s="12" t="n"/>
      <c r="Q4714" s="12" t="n"/>
      <c r="R4714" s="12" t="n"/>
      <c r="S4714" s="12" t="inlineStr">
        <is>
          <t>Riser</t>
        </is>
      </c>
      <c r="T4714" s="15" t="n">
        <v>4</v>
      </c>
      <c r="U4714" s="15" t="n">
        <v>32</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I-I-0101</t>
        </is>
      </c>
      <c r="B4715" s="12" t="inlineStr">
        <is>
          <t>I</t>
        </is>
      </c>
      <c r="C4715" s="12" t="inlineStr">
        <is>
          <t>Modular / portable power</t>
        </is>
      </c>
      <c r="D4715" s="12" t="inlineStr">
        <is>
          <t>Instrumentation</t>
        </is>
      </c>
      <c r="E4715" s="12" t="inlineStr"/>
      <c r="F4715" s="12" t="inlineStr">
        <is>
          <t>PCM: power control module</t>
        </is>
      </c>
      <c r="G4715" s="12" t="inlineStr"/>
      <c r="H4715" s="12" t="inlineStr">
        <is>
          <t>MOD-LV 480 V board + 480 V : 13.8 kV step-up</t>
        </is>
      </c>
      <c r="I4715" s="12" t="inlineStr">
        <is>
          <t>Instrumentation</t>
        </is>
      </c>
      <c r="J4715" s="12" t="inlineStr">
        <is>
          <t>Instrumentation PLTC / TC-ER 300 V, #18 twisted shielded pairs, overall shield</t>
        </is>
      </c>
      <c r="K4715" s="12" t="inlineStr">
        <is>
          <t>PLTC|4 pr|18</t>
        </is>
      </c>
      <c r="L4715" s="12" t="inlineStr">
        <is>
          <t>4 pr</t>
        </is>
      </c>
      <c r="M4715" s="12" t="inlineStr">
        <is>
          <t>18</t>
        </is>
      </c>
      <c r="N4715" s="12" t="n">
        <v>1</v>
      </c>
      <c r="O4715" s="12" t="n">
        <v>1</v>
      </c>
      <c r="P4715" s="12" t="n"/>
      <c r="Q4715" s="12" t="n"/>
      <c r="R4715" s="12" t="n"/>
      <c r="S4715" s="12" t="inlineStr">
        <is>
          <t>Duct bank</t>
        </is>
      </c>
      <c r="T4715" s="15" t="n">
        <v>723</v>
      </c>
      <c r="U4715" s="15" t="n">
        <v>32</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I-I-0102</t>
        </is>
      </c>
      <c r="B4716" s="12" t="inlineStr">
        <is>
          <t>I</t>
        </is>
      </c>
      <c r="C4716" s="12" t="inlineStr">
        <is>
          <t>Modular / portable power</t>
        </is>
      </c>
      <c r="D4716" s="12" t="inlineStr">
        <is>
          <t>MOD-SST monitoring: temperatures, gas relay, oil level</t>
        </is>
      </c>
      <c r="E4716" s="12" t="inlineStr">
        <is>
          <t>MOD-EH</t>
        </is>
      </c>
      <c r="F4716" s="12" t="inlineStr">
        <is>
          <t>MOD-EH: 34.5 kV modular collector e-house (2 bus sections + 13.8 kV st</t>
        </is>
      </c>
      <c r="G4716" s="12" t="inlineStr">
        <is>
          <t>MOD-SST</t>
        </is>
      </c>
      <c r="H4716" s="12" t="inlineStr">
        <is>
          <t>MOD-SST: 34.5 / 13.8 kV station-service transformer, ~10 MVA (yard sta</t>
        </is>
      </c>
      <c r="I4716" s="12" t="inlineStr">
        <is>
          <t>Instrumentation</t>
        </is>
      </c>
      <c r="J4716" s="12" t="inlineStr">
        <is>
          <t>Instrumentation ITC / PLTC, IS, #18 shielded pairs, blue jacket</t>
        </is>
      </c>
      <c r="K4716" s="12" t="inlineStr">
        <is>
          <t>ITC|4 pr|18</t>
        </is>
      </c>
      <c r="L4716" s="12" t="inlineStr">
        <is>
          <t>4 pr</t>
        </is>
      </c>
      <c r="M4716" s="12" t="inlineStr">
        <is>
          <t>18</t>
        </is>
      </c>
      <c r="N4716" s="12" t="n">
        <v>1</v>
      </c>
      <c r="O4716" s="12" t="n">
        <v>1</v>
      </c>
      <c r="P4716" s="12" t="n"/>
      <c r="Q4716" s="12" t="n"/>
      <c r="R4716" s="12" t="n"/>
      <c r="S4716" s="12" t="inlineStr">
        <is>
          <t>Duct bank</t>
        </is>
      </c>
      <c r="T4716" s="15" t="n">
        <v>223</v>
      </c>
      <c r="U4716" s="15" t="n">
        <v>32</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I-I-0103</t>
        </is>
      </c>
      <c r="B4717" s="12" t="inlineStr">
        <is>
          <t>I</t>
        </is>
      </c>
      <c r="C4717" s="12" t="inlineStr">
        <is>
          <t>Modular / portable power</t>
        </is>
      </c>
      <c r="D4717" s="12" t="inlineStr">
        <is>
          <t>Analog instrument to JB JB-MT-4..6 480 V swit-AI01: 6 x 1 pr (field cables)</t>
        </is>
      </c>
      <c r="E4717" s="12" t="inlineStr"/>
      <c r="F4717" s="12" t="inlineStr">
        <is>
          <t>MT-4..6 480 V switchboard</t>
        </is>
      </c>
      <c r="G4717" s="12" t="inlineStr">
        <is>
          <t>JB-MT-4..6 480 V swit-AI01</t>
        </is>
      </c>
      <c r="H4717" s="12" t="inlineStr">
        <is>
          <t>MT-4..6 480 V switchboard</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5" t="n">
        <v>44</v>
      </c>
      <c r="U4717" s="15" t="n">
        <v>10</v>
      </c>
      <c r="V4717" s="15">
        <f>ROUNDUP((T4717+U4717+2*'Read Me'!$B$13)*(1+'Read Me'!$B$12),-1)</f>
        <v/>
      </c>
      <c r="W4717" s="15">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I-I-0104</t>
        </is>
      </c>
      <c r="B4718" s="12" t="inlineStr">
        <is>
          <t>I</t>
        </is>
      </c>
      <c r="C4718" s="12" t="inlineStr">
        <is>
          <t>Modular / portable power</t>
        </is>
      </c>
      <c r="D4718" s="12" t="inlineStr">
        <is>
          <t>Home run JB-MT-4..6 480 V swit-AI01 to the control / marshalling room</t>
        </is>
      </c>
      <c r="E4718" s="12" t="inlineStr">
        <is>
          <t>PAD-EH</t>
        </is>
      </c>
      <c r="F4718" s="12" t="inlineStr">
        <is>
          <t>PAD-EH 13.8 kV switchgear e-house</t>
        </is>
      </c>
      <c r="G4718" s="12" t="inlineStr">
        <is>
          <t>JB-MT-4..6 480 V swit-AI01</t>
        </is>
      </c>
      <c r="H4718" s="12" t="inlineStr">
        <is>
          <t>MT-4..6 480 V switchboard</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5" t="n">
        <v>234</v>
      </c>
      <c r="U4718" s="15" t="n">
        <v>37</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I-I-0105</t>
        </is>
      </c>
      <c r="B4719" s="12" t="inlineStr">
        <is>
          <t>I</t>
        </is>
      </c>
      <c r="C4719" s="12" t="inlineStr">
        <is>
          <t>Modular / portable power</t>
        </is>
      </c>
      <c r="D4719" s="12" t="inlineStr">
        <is>
          <t>Discrete device to JB JB-MT-4..6 480 V swit-DI01: 6 x 1 pr (field cables)</t>
        </is>
      </c>
      <c r="E4719" s="12" t="inlineStr"/>
      <c r="F4719" s="12" t="inlineStr">
        <is>
          <t>MT-4..6 480 V switchboard</t>
        </is>
      </c>
      <c r="G4719" s="12" t="inlineStr">
        <is>
          <t>JB-MT-4..6 480 V swit-DI01</t>
        </is>
      </c>
      <c r="H4719" s="12" t="inlineStr">
        <is>
          <t>MT-4..6 480 V switchboard</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6</v>
      </c>
      <c r="O4719" s="12" t="n">
        <v>1</v>
      </c>
      <c r="P4719" s="12" t="n"/>
      <c r="Q4719" s="12" t="n"/>
      <c r="R4719" s="12" t="n"/>
      <c r="S4719" s="12" t="inlineStr">
        <is>
          <t>Tray / conduit</t>
        </is>
      </c>
      <c r="T4719" s="15" t="n">
        <v>44</v>
      </c>
      <c r="U4719" s="15" t="n">
        <v>10</v>
      </c>
      <c r="V4719" s="15">
        <f>ROUNDUP((T4719+U4719+2*'Read Me'!$B$13)*(1+'Read Me'!$B$12),-1)</f>
        <v/>
      </c>
      <c r="W4719" s="15">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I-I-0106</t>
        </is>
      </c>
      <c r="B4720" s="12" t="inlineStr">
        <is>
          <t>I</t>
        </is>
      </c>
      <c r="C4720" s="12" t="inlineStr">
        <is>
          <t>Modular / portable power</t>
        </is>
      </c>
      <c r="D4720" s="12" t="inlineStr">
        <is>
          <t>Home run JB-MT-4..6 480 V swit-DI01 to the control / marshalling room</t>
        </is>
      </c>
      <c r="E4720" s="12" t="inlineStr">
        <is>
          <t>PAD-EH</t>
        </is>
      </c>
      <c r="F4720" s="12" t="inlineStr">
        <is>
          <t>PAD-EH 13.8 kV switchgear e-house</t>
        </is>
      </c>
      <c r="G4720" s="12" t="inlineStr">
        <is>
          <t>JB-MT-4..6 480 V swit-DI01</t>
        </is>
      </c>
      <c r="H4720" s="12" t="inlineStr">
        <is>
          <t>MT-4..6 480 V switchboard</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Duct bank</t>
        </is>
      </c>
      <c r="T4720" s="15" t="n">
        <v>234</v>
      </c>
      <c r="U4720" s="15" t="n">
        <v>37</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I-I-0107</t>
        </is>
      </c>
      <c r="B4721" s="12" t="inlineStr">
        <is>
          <t>I</t>
        </is>
      </c>
      <c r="C4721" s="12" t="inlineStr">
        <is>
          <t>Modular / portable power</t>
        </is>
      </c>
      <c r="D4721" s="12" t="inlineStr">
        <is>
          <t>Analog instrument to JB JB-MT-4-AI01: 6 x 1 pr (field cables)</t>
        </is>
      </c>
      <c r="E4721" s="12" t="inlineStr">
        <is>
          <t>MT-4</t>
        </is>
      </c>
      <c r="F4721" s="12" t="inlineStr">
        <is>
          <t>MT-4: microturbine 1 MW (1 MW package class)</t>
        </is>
      </c>
      <c r="G4721" s="12" t="inlineStr">
        <is>
          <t>JB-MT-4-AI01</t>
        </is>
      </c>
      <c r="H4721" s="12" t="inlineStr">
        <is>
          <t>MT-4: microturbine 1 MW (1 MW package class)</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6</v>
      </c>
      <c r="O4721" s="12" t="n">
        <v>1</v>
      </c>
      <c r="P4721" s="12" t="n"/>
      <c r="Q4721" s="12" t="n"/>
      <c r="R4721" s="12" t="n"/>
      <c r="S4721" s="12" t="inlineStr">
        <is>
          <t>Tray / conduit</t>
        </is>
      </c>
      <c r="T4721" s="15" t="n">
        <v>47</v>
      </c>
      <c r="U4721" s="15" t="n">
        <v>10</v>
      </c>
      <c r="V4721" s="15">
        <f>ROUNDUP((T4721+U4721+2*'Read Me'!$B$13)*(1+'Read Me'!$B$12),-1)</f>
        <v/>
      </c>
      <c r="W4721" s="15">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I-I-0108</t>
        </is>
      </c>
      <c r="B4722" s="12" t="inlineStr">
        <is>
          <t>I</t>
        </is>
      </c>
      <c r="C4722" s="12" t="inlineStr">
        <is>
          <t>Modular / portable power</t>
        </is>
      </c>
      <c r="D4722" s="12" t="inlineStr">
        <is>
          <t>Home run JB-MT-4-AI01 to the control / marshalling room</t>
        </is>
      </c>
      <c r="E4722" s="12" t="inlineStr">
        <is>
          <t>PAD-EH</t>
        </is>
      </c>
      <c r="F4722" s="12" t="inlineStr">
        <is>
          <t>PAD-EH 13.8 kV switchgear e-house</t>
        </is>
      </c>
      <c r="G4722" s="12" t="inlineStr">
        <is>
          <t>JB-MT-4-AI01</t>
        </is>
      </c>
      <c r="H4722" s="12" t="inlineStr">
        <is>
          <t>MT-4: microturbine 1 MW (1 MW package class)</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Duct bank</t>
        </is>
      </c>
      <c r="T4722" s="15" t="n">
        <v>318</v>
      </c>
      <c r="U4722" s="15" t="n">
        <v>33</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I-I-0109</t>
        </is>
      </c>
      <c r="B4723" s="12" t="inlineStr">
        <is>
          <t>I</t>
        </is>
      </c>
      <c r="C4723" s="12" t="inlineStr">
        <is>
          <t>Modular / portable power</t>
        </is>
      </c>
      <c r="D4723" s="12" t="inlineStr">
        <is>
          <t>Discrete device to JB JB-MT-4-DI01: 6 x 1 pr (field cables)</t>
        </is>
      </c>
      <c r="E4723" s="12" t="inlineStr">
        <is>
          <t>MT-4</t>
        </is>
      </c>
      <c r="F4723" s="12" t="inlineStr">
        <is>
          <t>MT-4: microturbine 1 MW (1 MW package class)</t>
        </is>
      </c>
      <c r="G4723" s="12" t="inlineStr">
        <is>
          <t>JB-MT-4-DI01</t>
        </is>
      </c>
      <c r="H4723" s="12" t="inlineStr">
        <is>
          <t>MT-4: microturbine 1 MW (1 MW package class)</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6</v>
      </c>
      <c r="O4723" s="12" t="n">
        <v>1</v>
      </c>
      <c r="P4723" s="12" t="n"/>
      <c r="Q4723" s="12" t="n"/>
      <c r="R4723" s="12" t="n"/>
      <c r="S4723" s="12" t="inlineStr">
        <is>
          <t>Tray / conduit</t>
        </is>
      </c>
      <c r="T4723" s="15" t="n">
        <v>47</v>
      </c>
      <c r="U4723" s="15" t="n">
        <v>10</v>
      </c>
      <c r="V4723" s="15">
        <f>ROUNDUP((T4723+U4723+2*'Read Me'!$B$13)*(1+'Read Me'!$B$12),-1)</f>
        <v/>
      </c>
      <c r="W4723" s="15">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I-I-0110</t>
        </is>
      </c>
      <c r="B4724" s="12" t="inlineStr">
        <is>
          <t>I</t>
        </is>
      </c>
      <c r="C4724" s="12" t="inlineStr">
        <is>
          <t>Modular / portable power</t>
        </is>
      </c>
      <c r="D4724" s="12" t="inlineStr">
        <is>
          <t>Home run JB-MT-4-DI01 to the control / marshalling room</t>
        </is>
      </c>
      <c r="E4724" s="12" t="inlineStr">
        <is>
          <t>PAD-EH</t>
        </is>
      </c>
      <c r="F4724" s="12" t="inlineStr">
        <is>
          <t>PAD-EH 13.8 kV switchgear e-house</t>
        </is>
      </c>
      <c r="G4724" s="12" t="inlineStr">
        <is>
          <t>JB-MT-4-DI01</t>
        </is>
      </c>
      <c r="H4724" s="12" t="inlineStr">
        <is>
          <t>MT-4: microturbine 1 MW (1 MW package class)</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5" t="n">
        <v>318</v>
      </c>
      <c r="U4724" s="15" t="n">
        <v>33</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I-I-0111</t>
        </is>
      </c>
      <c r="B4725" s="12" t="inlineStr">
        <is>
          <t>I</t>
        </is>
      </c>
      <c r="C4725" s="12" t="inlineStr">
        <is>
          <t>Modular / portable power</t>
        </is>
      </c>
      <c r="D4725" s="12" t="inlineStr">
        <is>
          <t>Analog instrument to JB JB-MT-5-AI01: 6 x 1 pr (field cables)</t>
        </is>
      </c>
      <c r="E4725" s="12" t="inlineStr">
        <is>
          <t>MT-5</t>
        </is>
      </c>
      <c r="F4725" s="12" t="inlineStr">
        <is>
          <t>MT-5: microturbine 1 MW (1 MW package class)</t>
        </is>
      </c>
      <c r="G4725" s="12" t="inlineStr">
        <is>
          <t>JB-MT-5-AI01</t>
        </is>
      </c>
      <c r="H4725" s="12" t="inlineStr">
        <is>
          <t>MT-5: microturbine 1 MW (1 MW package class)</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5" t="n">
        <v>47</v>
      </c>
      <c r="U4725" s="15" t="n">
        <v>10</v>
      </c>
      <c r="V4725" s="15">
        <f>ROUNDUP((T4725+U4725+2*'Read Me'!$B$13)*(1+'Read Me'!$B$12),-1)</f>
        <v/>
      </c>
      <c r="W4725" s="15">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I-I-0112</t>
        </is>
      </c>
      <c r="B4726" s="12" t="inlineStr">
        <is>
          <t>I</t>
        </is>
      </c>
      <c r="C4726" s="12" t="inlineStr">
        <is>
          <t>Modular / portable power</t>
        </is>
      </c>
      <c r="D4726" s="12" t="inlineStr">
        <is>
          <t>Home run JB-MT-5-AI01 to the control / marshalling room</t>
        </is>
      </c>
      <c r="E4726" s="12" t="inlineStr">
        <is>
          <t>PAD-EH</t>
        </is>
      </c>
      <c r="F4726" s="12" t="inlineStr">
        <is>
          <t>PAD-EH 13.8 kV switchgear e-house</t>
        </is>
      </c>
      <c r="G4726" s="12" t="inlineStr">
        <is>
          <t>JB-MT-5-AI01</t>
        </is>
      </c>
      <c r="H4726" s="12" t="inlineStr">
        <is>
          <t>MT-5: microturbine 1 MW (1 MW package class)</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5" t="n">
        <v>304</v>
      </c>
      <c r="U4726" s="15" t="n">
        <v>33</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I-I-0113</t>
        </is>
      </c>
      <c r="B4727" s="12" t="inlineStr">
        <is>
          <t>I</t>
        </is>
      </c>
      <c r="C4727" s="12" t="inlineStr">
        <is>
          <t>Modular / portable power</t>
        </is>
      </c>
      <c r="D4727" s="12" t="inlineStr">
        <is>
          <t>Discrete device to JB JB-MT-5-DI01: 6 x 1 pr (field cables)</t>
        </is>
      </c>
      <c r="E4727" s="12" t="inlineStr">
        <is>
          <t>MT-5</t>
        </is>
      </c>
      <c r="F4727" s="12" t="inlineStr">
        <is>
          <t>MT-5: microturbine 1 MW (1 MW package class)</t>
        </is>
      </c>
      <c r="G4727" s="12" t="inlineStr">
        <is>
          <t>JB-MT-5-DI01</t>
        </is>
      </c>
      <c r="H4727" s="12" t="inlineStr">
        <is>
          <t>MT-5: microturbine 1 MW (1 MW package class)</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6</v>
      </c>
      <c r="O4727" s="12" t="n">
        <v>1</v>
      </c>
      <c r="P4727" s="12" t="n"/>
      <c r="Q4727" s="12" t="n"/>
      <c r="R4727" s="12" t="n"/>
      <c r="S4727" s="12" t="inlineStr">
        <is>
          <t>Tray / conduit</t>
        </is>
      </c>
      <c r="T4727" s="15" t="n">
        <v>47</v>
      </c>
      <c r="U4727" s="15" t="n">
        <v>10</v>
      </c>
      <c r="V4727" s="15">
        <f>ROUNDUP((T4727+U4727+2*'Read Me'!$B$13)*(1+'Read Me'!$B$12),-1)</f>
        <v/>
      </c>
      <c r="W4727" s="15">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I-I-0114</t>
        </is>
      </c>
      <c r="B4728" s="12" t="inlineStr">
        <is>
          <t>I</t>
        </is>
      </c>
      <c r="C4728" s="12" t="inlineStr">
        <is>
          <t>Modular / portable power</t>
        </is>
      </c>
      <c r="D4728" s="12" t="inlineStr">
        <is>
          <t>Home run JB-MT-5-DI01 to the control / marshalling room</t>
        </is>
      </c>
      <c r="E4728" s="12" t="inlineStr">
        <is>
          <t>PAD-EH</t>
        </is>
      </c>
      <c r="F4728" s="12" t="inlineStr">
        <is>
          <t>PAD-EH 13.8 kV switchgear e-house</t>
        </is>
      </c>
      <c r="G4728" s="12" t="inlineStr">
        <is>
          <t>JB-MT-5-DI01</t>
        </is>
      </c>
      <c r="H4728" s="12" t="inlineStr">
        <is>
          <t>MT-5: microturbine 1 MW (1 MW package class)</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5" t="n">
        <v>304</v>
      </c>
      <c r="U4728" s="15" t="n">
        <v>33</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I-I-0115</t>
        </is>
      </c>
      <c r="B4729" s="12" t="inlineStr">
        <is>
          <t>I</t>
        </is>
      </c>
      <c r="C4729" s="12" t="inlineStr">
        <is>
          <t>Modular / portable power</t>
        </is>
      </c>
      <c r="D4729" s="12" t="inlineStr">
        <is>
          <t>Analog instrument to JB JB-MT-6-AI01: 6 x 1 pr (field cables)</t>
        </is>
      </c>
      <c r="E4729" s="12" t="inlineStr">
        <is>
          <t>MT-6</t>
        </is>
      </c>
      <c r="F4729" s="12" t="inlineStr">
        <is>
          <t>MT-6: microturbine 1 MW (1 MW package class)</t>
        </is>
      </c>
      <c r="G4729" s="12" t="inlineStr">
        <is>
          <t>JB-MT-6-AI01</t>
        </is>
      </c>
      <c r="H4729" s="12" t="inlineStr">
        <is>
          <t>MT-6: microturbine 1 MW (1 MW package class)</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6</v>
      </c>
      <c r="O4729" s="12" t="n">
        <v>1</v>
      </c>
      <c r="P4729" s="12" t="n"/>
      <c r="Q4729" s="12" t="n"/>
      <c r="R4729" s="12" t="n"/>
      <c r="S4729" s="12" t="inlineStr">
        <is>
          <t>Tray / conduit</t>
        </is>
      </c>
      <c r="T4729" s="15" t="n">
        <v>47</v>
      </c>
      <c r="U4729" s="15" t="n">
        <v>10</v>
      </c>
      <c r="V4729" s="15">
        <f>ROUNDUP((T4729+U4729+2*'Read Me'!$B$13)*(1+'Read Me'!$B$12),-1)</f>
        <v/>
      </c>
      <c r="W4729" s="15">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I-I-0116</t>
        </is>
      </c>
      <c r="B4730" s="12" t="inlineStr">
        <is>
          <t>I</t>
        </is>
      </c>
      <c r="C4730" s="12" t="inlineStr">
        <is>
          <t>Modular / portable power</t>
        </is>
      </c>
      <c r="D4730" s="12" t="inlineStr">
        <is>
          <t>Home run JB-MT-6-AI01 to the control / marshalling room</t>
        </is>
      </c>
      <c r="E4730" s="12" t="inlineStr">
        <is>
          <t>PAD-EH</t>
        </is>
      </c>
      <c r="F4730" s="12" t="inlineStr">
        <is>
          <t>PAD-EH 13.8 kV switchgear e-house</t>
        </is>
      </c>
      <c r="G4730" s="12" t="inlineStr">
        <is>
          <t>JB-MT-6-AI01</t>
        </is>
      </c>
      <c r="H4730" s="12" t="inlineStr">
        <is>
          <t>MT-6: microturbine 1 MW (1 MW package class)</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Duct bank</t>
        </is>
      </c>
      <c r="T4730" s="15" t="n">
        <v>234</v>
      </c>
      <c r="U4730" s="15" t="n">
        <v>38</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I-I-0117</t>
        </is>
      </c>
      <c r="B4731" s="12" t="inlineStr">
        <is>
          <t>I</t>
        </is>
      </c>
      <c r="C4731" s="12" t="inlineStr">
        <is>
          <t>Modular / portable power</t>
        </is>
      </c>
      <c r="D4731" s="12" t="inlineStr">
        <is>
          <t>Discrete device to JB JB-MT-6-DI01: 6 x 1 pr (field cables)</t>
        </is>
      </c>
      <c r="E4731" s="12" t="inlineStr">
        <is>
          <t>MT-6</t>
        </is>
      </c>
      <c r="F4731" s="12" t="inlineStr">
        <is>
          <t>MT-6: microturbine 1 MW (1 MW package class)</t>
        </is>
      </c>
      <c r="G4731" s="12" t="inlineStr">
        <is>
          <t>JB-MT-6-DI01</t>
        </is>
      </c>
      <c r="H4731" s="12" t="inlineStr">
        <is>
          <t>MT-6: microturbine 1 MW (1 MW package class)</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6</v>
      </c>
      <c r="O4731" s="12" t="n">
        <v>1</v>
      </c>
      <c r="P4731" s="12" t="n"/>
      <c r="Q4731" s="12" t="n"/>
      <c r="R4731" s="12" t="n"/>
      <c r="S4731" s="12" t="inlineStr">
        <is>
          <t>Tray / conduit</t>
        </is>
      </c>
      <c r="T4731" s="15" t="n">
        <v>47</v>
      </c>
      <c r="U4731" s="15" t="n">
        <v>10</v>
      </c>
      <c r="V4731" s="15">
        <f>ROUNDUP((T4731+U4731+2*'Read Me'!$B$13)*(1+'Read Me'!$B$12),-1)</f>
        <v/>
      </c>
      <c r="W4731" s="15">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I-I-0118</t>
        </is>
      </c>
      <c r="B4732" s="12" t="inlineStr">
        <is>
          <t>I</t>
        </is>
      </c>
      <c r="C4732" s="12" t="inlineStr">
        <is>
          <t>Modular / portable power</t>
        </is>
      </c>
      <c r="D4732" s="12" t="inlineStr">
        <is>
          <t>Home run JB-MT-6-DI01 to the control / marshalling room</t>
        </is>
      </c>
      <c r="E4732" s="12" t="inlineStr">
        <is>
          <t>PAD-EH</t>
        </is>
      </c>
      <c r="F4732" s="12" t="inlineStr">
        <is>
          <t>PAD-EH 13.8 kV switchgear e-house</t>
        </is>
      </c>
      <c r="G4732" s="12" t="inlineStr">
        <is>
          <t>JB-MT-6-DI01</t>
        </is>
      </c>
      <c r="H4732" s="12" t="inlineStr">
        <is>
          <t>MT-6: microturbine 1 MW (1 MW package class)</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5" t="n">
        <v>234</v>
      </c>
      <c r="U4732" s="15" t="n">
        <v>38</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I-I-0119</t>
        </is>
      </c>
      <c r="B4733" s="12" t="inlineStr">
        <is>
          <t>I</t>
        </is>
      </c>
      <c r="C4733" s="12" t="inlineStr">
        <is>
          <t>Modular / portable power</t>
        </is>
      </c>
      <c r="D4733" s="12" t="inlineStr">
        <is>
          <t>MT-TX monitoring: temperatures, gas relay, oil level</t>
        </is>
      </c>
      <c r="E4733" s="12" t="inlineStr"/>
      <c r="F4733" s="12" t="inlineStr">
        <is>
          <t>MT-4..6 480 V switchboard</t>
        </is>
      </c>
      <c r="G4733" s="12" t="inlineStr">
        <is>
          <t>MT-TX</t>
        </is>
      </c>
      <c r="H4733" s="12" t="inlineStr">
        <is>
          <t>MT-TX: 480 V : 13.8 kV, ~3.75 MVA pad-mount (microturbine site)</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0</v>
      </c>
      <c r="U4733" s="15" t="n">
        <v>36</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I-I-0120</t>
        </is>
      </c>
      <c r="B4734" s="12" t="inlineStr">
        <is>
          <t>I</t>
        </is>
      </c>
      <c r="C4734" s="12" t="inlineStr">
        <is>
          <t>Modular / portable power</t>
        </is>
      </c>
      <c r="D4734" s="12" t="inlineStr">
        <is>
          <t>MTG-1 instrumentation</t>
        </is>
      </c>
      <c r="E4734" s="12" t="inlineStr">
        <is>
          <t>MTG-SWG</t>
        </is>
      </c>
      <c r="F4734" s="12" t="inlineStr">
        <is>
          <t>MTG-SWG: 13.8 kV switchgear e-house (2 generator breakers, site feeder</t>
        </is>
      </c>
      <c r="G4734" s="12" t="inlineStr">
        <is>
          <t>MTG-1</t>
        </is>
      </c>
      <c r="H4734" s="12" t="inlineStr">
        <is>
          <t xml:space="preserve">MTG-1: mid-size industrial gas-turbine generator package ~16 MW, 13.8 </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37</v>
      </c>
      <c r="U4734" s="15" t="n">
        <v>34</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I-I-0121</t>
        </is>
      </c>
      <c r="B4735" s="12" t="inlineStr">
        <is>
          <t>I</t>
        </is>
      </c>
      <c r="C4735" s="12" t="inlineStr">
        <is>
          <t>Modular / portable power</t>
        </is>
      </c>
      <c r="D4735" s="12" t="inlineStr">
        <is>
          <t>MTG-2 instrumentation</t>
        </is>
      </c>
      <c r="E4735" s="12" t="inlineStr">
        <is>
          <t>MTG-SWG</t>
        </is>
      </c>
      <c r="F4735" s="12" t="inlineStr">
        <is>
          <t>MTG-SWG: 13.8 kV switchgear e-house (2 generator breakers, site feeder</t>
        </is>
      </c>
      <c r="G4735" s="12" t="inlineStr">
        <is>
          <t>MTG-2</t>
        </is>
      </c>
      <c r="H4735" s="12" t="inlineStr">
        <is>
          <t xml:space="preserve">MTG-2: mid-size industrial gas-turbine generator package ~16 MW, 13.8 </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7</v>
      </c>
      <c r="U4735" s="15" t="n">
        <v>34</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I-I-0122</t>
        </is>
      </c>
      <c r="B4736" s="12" t="inlineStr">
        <is>
          <t>I</t>
        </is>
      </c>
      <c r="C4736" s="12" t="inlineStr">
        <is>
          <t>Modular / portable power</t>
        </is>
      </c>
      <c r="D4736" s="12" t="inlineStr">
        <is>
          <t>MTG-AUX monitoring: temperatures, gas relay, oil level</t>
        </is>
      </c>
      <c r="E4736" s="12" t="inlineStr">
        <is>
          <t>MTG-SWG</t>
        </is>
      </c>
      <c r="F4736" s="12" t="inlineStr">
        <is>
          <t>MTG-SWG: 13.8 kV switchgear e-house (2 generator breakers, site feeder</t>
        </is>
      </c>
      <c r="G4736" s="12" t="inlineStr">
        <is>
          <t>MTG-AUX</t>
        </is>
      </c>
      <c r="H4736" s="12" t="inlineStr">
        <is>
          <t>MTG-AUX: 13.8 / 0.48 kV auxiliary transformer</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34</v>
      </c>
      <c r="U4736" s="15" t="n">
        <v>32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I-I-0123</t>
        </is>
      </c>
      <c r="B4737" s="12" t="inlineStr">
        <is>
          <t>I</t>
        </is>
      </c>
      <c r="C4737" s="12" t="inlineStr">
        <is>
          <t>Modular / portable power</t>
        </is>
      </c>
      <c r="D4737" s="12" t="inlineStr">
        <is>
          <t>MTG-FG skid instrumentation (IS)</t>
        </is>
      </c>
      <c r="E4737" s="12" t="inlineStr">
        <is>
          <t>MTG-CB</t>
        </is>
      </c>
      <c r="F4737" s="12" t="inlineStr">
        <is>
          <t>MTG-CB: control and MCC building (unit controls, 480 V MCC)</t>
        </is>
      </c>
      <c r="G4737" s="12" t="inlineStr">
        <is>
          <t>MTG-FG</t>
        </is>
      </c>
      <c r="H4737" s="12" t="inlineStr">
        <is>
          <t>MTG-FG: fuel-gas conditioning skid (scrubber, filter-separator, heater</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36</v>
      </c>
      <c r="U4737" s="15" t="n">
        <v>102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I-I-0124</t>
        </is>
      </c>
      <c r="B4738" s="12" t="inlineStr">
        <is>
          <t>I</t>
        </is>
      </c>
      <c r="C4738" s="12" t="inlineStr">
        <is>
          <t>Modular / portable power</t>
        </is>
      </c>
      <c r="D4738" s="12" t="inlineStr">
        <is>
          <t>MTG-GSU monitoring: temperatures, gas relay, oil level</t>
        </is>
      </c>
      <c r="E4738" s="12" t="inlineStr">
        <is>
          <t>MTG-SWG</t>
        </is>
      </c>
      <c r="F4738" s="12" t="inlineStr">
        <is>
          <t>MTG-SWG: 13.8 kV switchgear e-house (2 generator breakers, site feeder</t>
        </is>
      </c>
      <c r="G4738" s="12" t="inlineStr">
        <is>
          <t>MTG-GSU</t>
        </is>
      </c>
      <c r="H4738" s="12" t="inlineStr">
        <is>
          <t>MTG-GSU: 13.8 / 34.5 kV step-up, ~40 MVA (mid-size turbines)</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12</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I-I-0125</t>
        </is>
      </c>
      <c r="B4739" s="12" t="inlineStr">
        <is>
          <t>I</t>
        </is>
      </c>
      <c r="C4739" s="12" t="inlineStr">
        <is>
          <t>Modular / portable power</t>
        </is>
      </c>
      <c r="D4739" s="12" t="inlineStr">
        <is>
          <t>PAD-GSU monitoring: temperatures, gas relay, oil level</t>
        </is>
      </c>
      <c r="E4739" s="12" t="inlineStr">
        <is>
          <t>PAD-EH</t>
        </is>
      </c>
      <c r="F4739" s="12" t="inlineStr">
        <is>
          <t>PAD-EH 13.8 kV switchgear e-house</t>
        </is>
      </c>
      <c r="G4739" s="12" t="inlineStr">
        <is>
          <t>PAD-GSU</t>
        </is>
      </c>
      <c r="H4739" s="12" t="inlineStr">
        <is>
          <t>PAD-GSU: 13.8 / 34.5 kV step-up, ~60 MVA (PAD-EH: TM-1, CHP site, MT-T</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44</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I-I-0126</t>
        </is>
      </c>
      <c r="B4740" s="12" t="inlineStr">
        <is>
          <t>I</t>
        </is>
      </c>
      <c r="C4740" s="12" t="inlineStr">
        <is>
          <t>Modular / portable power</t>
        </is>
      </c>
      <c r="D4740" s="12" t="inlineStr">
        <is>
          <t>PGS-1 instrumentation</t>
        </is>
      </c>
      <c r="E4740" s="12" t="inlineStr">
        <is>
          <t>PGS-SWG</t>
        </is>
      </c>
      <c r="F4740" s="12" t="inlineStr">
        <is>
          <t>PGS-SWG: 480 V paralleling switchgear (8 generator breakers, 2 transfo</t>
        </is>
      </c>
      <c r="G4740" s="12" t="inlineStr">
        <is>
          <t>PGS-1</t>
        </is>
      </c>
      <c r="H4740" s="12" t="inlineStr">
        <is>
          <t>PGS-1: enclosed gas genset 1 MW, 480 V (paralleled, unit 1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Riser</t>
        </is>
      </c>
      <c r="T4740" s="15" t="n">
        <v>4</v>
      </c>
      <c r="U4740" s="15" t="n">
        <v>27</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I-I-0127</t>
        </is>
      </c>
      <c r="B4741" s="12" t="inlineStr">
        <is>
          <t>I</t>
        </is>
      </c>
      <c r="C4741" s="12" t="inlineStr">
        <is>
          <t>Modular / portable power</t>
        </is>
      </c>
      <c r="D4741" s="12" t="inlineStr">
        <is>
          <t>PGS-2 instrumentation</t>
        </is>
      </c>
      <c r="E4741" s="12" t="inlineStr">
        <is>
          <t>PGS-SWG</t>
        </is>
      </c>
      <c r="F4741" s="12" t="inlineStr">
        <is>
          <t>PGS-SWG: 480 V paralleling switchgear (8 generator breakers, 2 transfo</t>
        </is>
      </c>
      <c r="G4741" s="12" t="inlineStr">
        <is>
          <t>PGS-2</t>
        </is>
      </c>
      <c r="H4741" s="12" t="inlineStr">
        <is>
          <t>PGS-2: enclosed gas genset 1 MW, 480 V (paralleled, unit 2 of 8)</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Riser</t>
        </is>
      </c>
      <c r="T4741" s="15" t="n">
        <v>4</v>
      </c>
      <c r="U4741" s="15" t="n">
        <v>27</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I-I-0128</t>
        </is>
      </c>
      <c r="B4742" s="12" t="inlineStr">
        <is>
          <t>I</t>
        </is>
      </c>
      <c r="C4742" s="12" t="inlineStr">
        <is>
          <t>Modular / portable power</t>
        </is>
      </c>
      <c r="D4742" s="12" t="inlineStr">
        <is>
          <t>PGS-3 instrumentation</t>
        </is>
      </c>
      <c r="E4742" s="12" t="inlineStr">
        <is>
          <t>PGS-SWG</t>
        </is>
      </c>
      <c r="F4742" s="12" t="inlineStr">
        <is>
          <t>PGS-SWG: 480 V paralleling switchgear (8 generator breakers, 2 transfo</t>
        </is>
      </c>
      <c r="G4742" s="12" t="inlineStr">
        <is>
          <t>PGS-3</t>
        </is>
      </c>
      <c r="H4742" s="12" t="inlineStr">
        <is>
          <t>PGS-3: enclosed gas genset 1 MW, 480 V (paralleled, unit 3 of 8)</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Riser</t>
        </is>
      </c>
      <c r="T4742" s="15" t="n">
        <v>4</v>
      </c>
      <c r="U4742" s="15" t="n">
        <v>27</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I-I-0129</t>
        </is>
      </c>
      <c r="B4743" s="12" t="inlineStr">
        <is>
          <t>I</t>
        </is>
      </c>
      <c r="C4743" s="12" t="inlineStr">
        <is>
          <t>Modular / portable power</t>
        </is>
      </c>
      <c r="D4743" s="12" t="inlineStr">
        <is>
          <t>PGS-4 instrumentation</t>
        </is>
      </c>
      <c r="E4743" s="12" t="inlineStr">
        <is>
          <t>PGS-SWG</t>
        </is>
      </c>
      <c r="F4743" s="12" t="inlineStr">
        <is>
          <t>PGS-SWG: 480 V paralleling switchgear (8 generator breakers, 2 transfo</t>
        </is>
      </c>
      <c r="G4743" s="12" t="inlineStr">
        <is>
          <t>PGS-4</t>
        </is>
      </c>
      <c r="H4743" s="12" t="inlineStr">
        <is>
          <t>PGS-4: enclosed gas genset 1 MW, 480 V (paralleled, unit 4 of 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Riser</t>
        </is>
      </c>
      <c r="T4743" s="15" t="n">
        <v>4</v>
      </c>
      <c r="U4743" s="15" t="n">
        <v>27</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I-I-0130</t>
        </is>
      </c>
      <c r="B4744" s="12" t="inlineStr">
        <is>
          <t>I</t>
        </is>
      </c>
      <c r="C4744" s="12" t="inlineStr">
        <is>
          <t>Modular / portable power</t>
        </is>
      </c>
      <c r="D4744" s="12" t="inlineStr">
        <is>
          <t>PGS-5 instrumentation</t>
        </is>
      </c>
      <c r="E4744" s="12" t="inlineStr">
        <is>
          <t>PGS-SWG</t>
        </is>
      </c>
      <c r="F4744" s="12" t="inlineStr">
        <is>
          <t>PGS-SWG: 480 V paralleling switchgear (8 generator breakers, 2 transfo</t>
        </is>
      </c>
      <c r="G4744" s="12" t="inlineStr">
        <is>
          <t>PGS-5</t>
        </is>
      </c>
      <c r="H4744" s="12" t="inlineStr">
        <is>
          <t>PGS-5: enclosed gas genset 1 MW, 480 V (paralleled, unit 5 of 8)</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16</v>
      </c>
      <c r="U4744" s="15" t="n">
        <v>32</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I-I-0131</t>
        </is>
      </c>
      <c r="B4745" s="12" t="inlineStr">
        <is>
          <t>I</t>
        </is>
      </c>
      <c r="C4745" s="12" t="inlineStr">
        <is>
          <t>Modular / portable power</t>
        </is>
      </c>
      <c r="D4745" s="12" t="inlineStr">
        <is>
          <t>PGS-6 instrumentation</t>
        </is>
      </c>
      <c r="E4745" s="12" t="inlineStr">
        <is>
          <t>PGS-SWG</t>
        </is>
      </c>
      <c r="F4745" s="12" t="inlineStr">
        <is>
          <t>PGS-SWG: 480 V paralleling switchgear (8 generator breakers, 2 transfo</t>
        </is>
      </c>
      <c r="G4745" s="12" t="inlineStr">
        <is>
          <t>PGS-6</t>
        </is>
      </c>
      <c r="H4745" s="12" t="inlineStr">
        <is>
          <t>PGS-6: enclosed gas genset 1 MW, 480 V (paralleled, unit 6 of 8)</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28</v>
      </c>
      <c r="U4745" s="15" t="n">
        <v>32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I-I-0132</t>
        </is>
      </c>
      <c r="B4746" s="12" t="inlineStr">
        <is>
          <t>I</t>
        </is>
      </c>
      <c r="C4746" s="12" t="inlineStr">
        <is>
          <t>Modular / portable power</t>
        </is>
      </c>
      <c r="D4746" s="12" t="inlineStr">
        <is>
          <t>PGS-7 instrumentation</t>
        </is>
      </c>
      <c r="E4746" s="12" t="inlineStr">
        <is>
          <t>PGS-SWG</t>
        </is>
      </c>
      <c r="F4746" s="12" t="inlineStr">
        <is>
          <t>PGS-SWG: 480 V paralleling switchgear (8 generator breakers, 2 transfo</t>
        </is>
      </c>
      <c r="G4746" s="12" t="inlineStr">
        <is>
          <t>PGS-7</t>
        </is>
      </c>
      <c r="H4746" s="12" t="inlineStr">
        <is>
          <t>PGS-7: enclosed gas genset 1 MW, 480 V (paralleled, unit 7 of 8)</t>
        </is>
      </c>
      <c r="I4746" s="12" t="inlineStr">
        <is>
          <t>Instrumentation</t>
        </is>
      </c>
      <c r="J4746" s="12" t="inlineStr">
        <is>
          <t>Instrumentation ITC / PLTC, IS, #18 shielded pairs, blue jacket</t>
        </is>
      </c>
      <c r="K4746" s="12" t="inlineStr">
        <is>
          <t>ITC|4 pr|18</t>
        </is>
      </c>
      <c r="L4746" s="12" t="inlineStr">
        <is>
          <t>4 pr</t>
        </is>
      </c>
      <c r="M4746" s="12" t="inlineStr">
        <is>
          <t>18</t>
        </is>
      </c>
      <c r="N4746" s="12" t="n">
        <v>1</v>
      </c>
      <c r="O4746" s="12" t="n">
        <v>1</v>
      </c>
      <c r="P4746" s="12" t="n"/>
      <c r="Q4746" s="12" t="n"/>
      <c r="R4746" s="12" t="n"/>
      <c r="S4746" s="12" t="inlineStr">
        <is>
          <t>Duct bank</t>
        </is>
      </c>
      <c r="T4746" s="15" t="n">
        <v>40</v>
      </c>
      <c r="U4746" s="15" t="n">
        <v>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I-I-0133</t>
        </is>
      </c>
      <c r="B4747" s="12" t="inlineStr">
        <is>
          <t>I</t>
        </is>
      </c>
      <c r="C4747" s="12" t="inlineStr">
        <is>
          <t>Modular / portable power</t>
        </is>
      </c>
      <c r="D4747" s="12" t="inlineStr">
        <is>
          <t>PGS-8 instrumentation</t>
        </is>
      </c>
      <c r="E4747" s="12" t="inlineStr">
        <is>
          <t>PGS-SWG</t>
        </is>
      </c>
      <c r="F4747" s="12" t="inlineStr">
        <is>
          <t>PGS-SWG: 480 V paralleling switchgear (8 generator breakers, 2 transfo</t>
        </is>
      </c>
      <c r="G4747" s="12" t="inlineStr">
        <is>
          <t>PGS-8</t>
        </is>
      </c>
      <c r="H4747" s="12" t="inlineStr">
        <is>
          <t>PGS-8: enclosed gas genset 1 MW, 480 V (paralleled, unit 8 of 8)</t>
        </is>
      </c>
      <c r="I4747" s="12" t="inlineStr">
        <is>
          <t>Instrumentation</t>
        </is>
      </c>
      <c r="J4747" s="12" t="inlineStr">
        <is>
          <t>Instrumentation ITC / PLTC, IS, #18 shielded pairs, blue jacket</t>
        </is>
      </c>
      <c r="K4747" s="12" t="inlineStr">
        <is>
          <t>ITC|4 pr|18</t>
        </is>
      </c>
      <c r="L4747" s="12" t="inlineStr">
        <is>
          <t>4 pr</t>
        </is>
      </c>
      <c r="M4747" s="12" t="inlineStr">
        <is>
          <t>18</t>
        </is>
      </c>
      <c r="N4747" s="12" t="n">
        <v>1</v>
      </c>
      <c r="O4747" s="12" t="n">
        <v>1</v>
      </c>
      <c r="P4747" s="12" t="n"/>
      <c r="Q4747" s="12" t="n"/>
      <c r="R4747" s="12" t="n"/>
      <c r="S4747" s="12" t="inlineStr">
        <is>
          <t>Duct bank</t>
        </is>
      </c>
      <c r="T4747" s="15" t="n">
        <v>52</v>
      </c>
      <c r="U4747" s="15" t="n">
        <v>32</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I-I-0134</t>
        </is>
      </c>
      <c r="B4748" s="12" t="inlineStr">
        <is>
          <t>I</t>
        </is>
      </c>
      <c r="C4748" s="12" t="inlineStr">
        <is>
          <t>Modular / portable power</t>
        </is>
      </c>
      <c r="D4748" s="12" t="inlineStr">
        <is>
          <t>PGS-SWG bus / breaker monitoring (internal)</t>
        </is>
      </c>
      <c r="E4748" s="12" t="inlineStr">
        <is>
          <t>PGS-SWG</t>
        </is>
      </c>
      <c r="F4748" s="12" t="inlineStr">
        <is>
          <t>PGS-SWG: 480 V paralleling switchgear (8 generator breakers, 2 transfo</t>
        </is>
      </c>
      <c r="G4748" s="12" t="inlineStr">
        <is>
          <t>PGS-SWG</t>
        </is>
      </c>
      <c r="H4748" s="12" t="inlineStr">
        <is>
          <t>PGS-SWG: 480 V paralleling switchgear (8 generator breakers, 2 transfo</t>
        </is>
      </c>
      <c r="I4748" s="12" t="inlineStr">
        <is>
          <t>Instrumentation</t>
        </is>
      </c>
      <c r="J4748" s="12" t="inlineStr">
        <is>
          <t>Instrumentation ITC / PLTC, IS, #18 shielded pairs, blue jacket</t>
        </is>
      </c>
      <c r="K4748" s="12" t="inlineStr">
        <is>
          <t>ITC|4 pr|18</t>
        </is>
      </c>
      <c r="L4748" s="12" t="inlineStr">
        <is>
          <t>4 pr</t>
        </is>
      </c>
      <c r="M4748" s="12" t="inlineStr">
        <is>
          <t>18</t>
        </is>
      </c>
      <c r="N4748" s="12" t="n">
        <v>1</v>
      </c>
      <c r="O4748" s="12" t="n">
        <v>1</v>
      </c>
      <c r="P4748" s="12" t="n"/>
      <c r="Q4748" s="12" t="n"/>
      <c r="R4748" s="12" t="n"/>
      <c r="S4748" s="12" t="inlineStr">
        <is>
          <t>Tray</t>
        </is>
      </c>
      <c r="T4748" s="15" t="n">
        <v>60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I-I-0135</t>
        </is>
      </c>
      <c r="B4749" s="12" t="inlineStr">
        <is>
          <t>I</t>
        </is>
      </c>
      <c r="C4749" s="12" t="inlineStr">
        <is>
          <t>Modular / portable power</t>
        </is>
      </c>
      <c r="D4749" s="12" t="inlineStr">
        <is>
          <t>PGS-TX1 monitoring: temperatures, gas relay, oil level</t>
        </is>
      </c>
      <c r="E4749" s="12" t="inlineStr">
        <is>
          <t>PGS-SWG</t>
        </is>
      </c>
      <c r="F4749" s="12" t="inlineStr">
        <is>
          <t>PGS-SWG: 480 V paralleling switchgear (8 generator breakers, 2 transfo</t>
        </is>
      </c>
      <c r="G4749" s="12" t="inlineStr">
        <is>
          <t>PGS-TX1</t>
        </is>
      </c>
      <c r="H4749" s="12" t="inlineStr">
        <is>
          <t>PGS-TX1: 480 V : 34.5 kV, ~5 MVA loop-feed pad-mount (gensets 1-4)</t>
        </is>
      </c>
      <c r="I4749" s="12" t="inlineStr">
        <is>
          <t>Instrumentation</t>
        </is>
      </c>
      <c r="J4749" s="12" t="inlineStr">
        <is>
          <t>Instrumentation ITC / PLTC, IS, #18 shielded pairs, blue jacket</t>
        </is>
      </c>
      <c r="K4749" s="12" t="inlineStr">
        <is>
          <t>ITC|4 pr|18</t>
        </is>
      </c>
      <c r="L4749" s="12" t="inlineStr">
        <is>
          <t>4 pr</t>
        </is>
      </c>
      <c r="M4749" s="12" t="inlineStr">
        <is>
          <t>18</t>
        </is>
      </c>
      <c r="N4749" s="12" t="n">
        <v>1</v>
      </c>
      <c r="O4749" s="12" t="n">
        <v>1</v>
      </c>
      <c r="P4749" s="12" t="n"/>
      <c r="Q4749" s="12" t="n"/>
      <c r="R4749" s="12" t="n"/>
      <c r="S4749" s="12" t="inlineStr">
        <is>
          <t>Surface</t>
        </is>
      </c>
      <c r="T4749" s="15" t="n">
        <v>75</v>
      </c>
      <c r="U4749" s="15" t="n">
        <v>32</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I-I-0136</t>
        </is>
      </c>
      <c r="B4750" s="12" t="inlineStr">
        <is>
          <t>I</t>
        </is>
      </c>
      <c r="C4750" s="12" t="inlineStr">
        <is>
          <t>Modular / portable power</t>
        </is>
      </c>
      <c r="D4750" s="12" t="inlineStr">
        <is>
          <t>PGS-TX2 monitoring: temperatures, gas relay, oil level</t>
        </is>
      </c>
      <c r="E4750" s="12" t="inlineStr">
        <is>
          <t>PGS-SWG</t>
        </is>
      </c>
      <c r="F4750" s="12" t="inlineStr">
        <is>
          <t>PGS-SWG: 480 V paralleling switchgear (8 generator breakers, 2 transfo</t>
        </is>
      </c>
      <c r="G4750" s="12" t="inlineStr">
        <is>
          <t>PGS-TX2</t>
        </is>
      </c>
      <c r="H4750" s="12" t="inlineStr">
        <is>
          <t>PGS-TX2: 480 V : 34.5 kV, ~5 MVA loop-feed pad-mount (gensets 5-8)</t>
        </is>
      </c>
      <c r="I4750" s="12" t="inlineStr">
        <is>
          <t>Instrumentation</t>
        </is>
      </c>
      <c r="J4750" s="12" t="inlineStr">
        <is>
          <t>Instrumentation ITC / PLTC, IS, #18 shielded pairs, blue jacket</t>
        </is>
      </c>
      <c r="K4750" s="12" t="inlineStr">
        <is>
          <t>ITC|4 pr|18</t>
        </is>
      </c>
      <c r="L4750" s="12" t="inlineStr">
        <is>
          <t>4 pr</t>
        </is>
      </c>
      <c r="M4750" s="12" t="inlineStr">
        <is>
          <t>18</t>
        </is>
      </c>
      <c r="N4750" s="12" t="n">
        <v>1</v>
      </c>
      <c r="O4750" s="12" t="n">
        <v>1</v>
      </c>
      <c r="P4750" s="12" t="n"/>
      <c r="Q4750" s="12" t="n"/>
      <c r="R4750" s="12" t="n"/>
      <c r="S4750" s="12" t="inlineStr">
        <is>
          <t>Surface</t>
        </is>
      </c>
      <c r="T4750" s="15" t="n">
        <v>46</v>
      </c>
      <c r="U4750" s="15" t="n">
        <v>32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I-I-0137</t>
        </is>
      </c>
      <c r="B4751" s="12" t="inlineStr">
        <is>
          <t>I</t>
        </is>
      </c>
      <c r="C4751" s="12" t="inlineStr">
        <is>
          <t>Modular / portable power</t>
        </is>
      </c>
      <c r="D4751" s="12" t="inlineStr">
        <is>
          <t>PK-GT1 monitoring: temperatures, gas relay, oil level</t>
        </is>
      </c>
      <c r="E4751" s="12" t="inlineStr">
        <is>
          <t>SWG-PK</t>
        </is>
      </c>
      <c r="F4751" s="12" t="inlineStr">
        <is>
          <t>SWG-PK: 34.5 kV park collector switchgear (2 bus sections, tie; 8 feed</t>
        </is>
      </c>
      <c r="G4751" s="12" t="inlineStr">
        <is>
          <t>PK-GT1</t>
        </is>
      </c>
      <c r="H4751" s="12" t="inlineStr">
        <is>
          <t>PK-GT1: 34.5 kV zigzag grounding transformer, SWG-PK bus A</t>
        </is>
      </c>
      <c r="I4751" s="12" t="inlineStr">
        <is>
          <t>Instrumentation</t>
        </is>
      </c>
      <c r="J4751" s="12" t="inlineStr">
        <is>
          <t>Instrumentation ITC / PLTC, IS, #18 shielded pairs, blue jacket</t>
        </is>
      </c>
      <c r="K4751" s="12" t="inlineStr">
        <is>
          <t>ITC|4 pr|18</t>
        </is>
      </c>
      <c r="L4751" s="12" t="inlineStr">
        <is>
          <t>4 pr</t>
        </is>
      </c>
      <c r="M4751" s="12" t="inlineStr">
        <is>
          <t>18</t>
        </is>
      </c>
      <c r="N4751" s="12" t="n">
        <v>1</v>
      </c>
      <c r="O4751" s="12" t="n">
        <v>1</v>
      </c>
      <c r="P4751" s="12" t="n"/>
      <c r="Q4751" s="12" t="n"/>
      <c r="R4751" s="12" t="n"/>
      <c r="S4751" s="12" t="inlineStr">
        <is>
          <t>Duct bank</t>
        </is>
      </c>
      <c r="T4751" s="15" t="n">
        <v>60</v>
      </c>
      <c r="U4751" s="15" t="n">
        <v>38</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I-I-0138</t>
        </is>
      </c>
      <c r="B4752" s="12" t="inlineStr">
        <is>
          <t>I</t>
        </is>
      </c>
      <c r="C4752" s="12" t="inlineStr">
        <is>
          <t>Modular / portable power</t>
        </is>
      </c>
      <c r="D4752" s="12" t="inlineStr">
        <is>
          <t>PK-GT2 monitoring: temperatures, gas relay, oil level</t>
        </is>
      </c>
      <c r="E4752" s="12" t="inlineStr">
        <is>
          <t>SWG-PK</t>
        </is>
      </c>
      <c r="F4752" s="12" t="inlineStr">
        <is>
          <t>SWG-PK: 34.5 kV park collector switchgear (2 bus sections, tie; 8 feed</t>
        </is>
      </c>
      <c r="G4752" s="12" t="inlineStr">
        <is>
          <t>PK-GT2</t>
        </is>
      </c>
      <c r="H4752" s="12" t="inlineStr">
        <is>
          <t>PK-GT2: 34.5 kV zigzag grounding transformer, SWG-PK bus B</t>
        </is>
      </c>
      <c r="I4752" s="12" t="inlineStr">
        <is>
          <t>Instrumentation</t>
        </is>
      </c>
      <c r="J4752" s="12" t="inlineStr">
        <is>
          <t>Instrumentation ITC / PLTC, IS, #18 shielded pairs, blue jacket</t>
        </is>
      </c>
      <c r="K4752" s="12" t="inlineStr">
        <is>
          <t>ITC|4 pr|18</t>
        </is>
      </c>
      <c r="L4752" s="12" t="inlineStr">
        <is>
          <t>4 pr</t>
        </is>
      </c>
      <c r="M4752" s="12" t="inlineStr">
        <is>
          <t>18</t>
        </is>
      </c>
      <c r="N4752" s="12" t="n">
        <v>1</v>
      </c>
      <c r="O4752" s="12" t="n">
        <v>1</v>
      </c>
      <c r="P4752" s="12" t="n"/>
      <c r="Q4752" s="12" t="n"/>
      <c r="R4752" s="12" t="n"/>
      <c r="S4752" s="12" t="inlineStr">
        <is>
          <t>Duct bank</t>
        </is>
      </c>
      <c r="T4752" s="15" t="n">
        <v>72</v>
      </c>
      <c r="U4752" s="15" t="n">
        <v>42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I-I-0139</t>
        </is>
      </c>
      <c r="B4753" s="12" t="inlineStr">
        <is>
          <t>I</t>
        </is>
      </c>
      <c r="C4753" s="12" t="inlineStr">
        <is>
          <t>Modular / portable power</t>
        </is>
      </c>
      <c r="D4753" s="12" t="inlineStr">
        <is>
          <t>Analog instrument to JB JB-RICE 1 SCR + oxida-AI01: 10 x 1 pr (field cables)</t>
        </is>
      </c>
      <c r="E4753" s="12" t="inlineStr"/>
      <c r="F4753" s="12" t="inlineStr">
        <is>
          <t>RICE 1 SCR + oxidation catalyst and stack</t>
        </is>
      </c>
      <c r="G4753" s="12" t="inlineStr">
        <is>
          <t>JB-RICE 1 SCR + oxida-AI01</t>
        </is>
      </c>
      <c r="H4753" s="12" t="inlineStr">
        <is>
          <t>RICE 1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I-I-0140</t>
        </is>
      </c>
      <c r="B4754" s="12" t="inlineStr">
        <is>
          <t>I</t>
        </is>
      </c>
      <c r="C4754" s="12" t="inlineStr">
        <is>
          <t>Modular / portable power</t>
        </is>
      </c>
      <c r="D4754" s="12" t="inlineStr">
        <is>
          <t>Home run JB-RICE 1 SCR + oxida-AI01 to the control / marshalling room</t>
        </is>
      </c>
      <c r="E4754" s="12" t="inlineStr"/>
      <c r="F4754" s="12" t="inlineStr">
        <is>
          <t>PCM: power control module</t>
        </is>
      </c>
      <c r="G4754" s="12" t="inlineStr">
        <is>
          <t>JB-RICE 1 SCR + oxida-AI01</t>
        </is>
      </c>
      <c r="H4754" s="12" t="inlineStr">
        <is>
          <t>RICE 1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160</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I-I-0141</t>
        </is>
      </c>
      <c r="B4755" s="12" t="inlineStr">
        <is>
          <t>I</t>
        </is>
      </c>
      <c r="C4755" s="12" t="inlineStr">
        <is>
          <t>Modular / portable power</t>
        </is>
      </c>
      <c r="D4755" s="12" t="inlineStr">
        <is>
          <t>Discrete device to JB JB-RICE 1 SCR + oxida-DI01: 6 x 1 pr (field cables)</t>
        </is>
      </c>
      <c r="E4755" s="12" t="inlineStr"/>
      <c r="F4755" s="12" t="inlineStr">
        <is>
          <t>RICE 1 SCR + oxidation catalyst and stack</t>
        </is>
      </c>
      <c r="G4755" s="12" t="inlineStr">
        <is>
          <t>JB-RICE 1 SCR + oxida-DI01</t>
        </is>
      </c>
      <c r="H4755" s="12" t="inlineStr">
        <is>
          <t>RICE 1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I-I-0142</t>
        </is>
      </c>
      <c r="B4756" s="12" t="inlineStr">
        <is>
          <t>I</t>
        </is>
      </c>
      <c r="C4756" s="12" t="inlineStr">
        <is>
          <t>Modular / portable power</t>
        </is>
      </c>
      <c r="D4756" s="12" t="inlineStr">
        <is>
          <t>Home run JB-RICE 1 SCR + oxida-DI01 to the control / marshalling room</t>
        </is>
      </c>
      <c r="E4756" s="12" t="inlineStr"/>
      <c r="F4756" s="12" t="inlineStr">
        <is>
          <t>PCM: power control module</t>
        </is>
      </c>
      <c r="G4756" s="12" t="inlineStr">
        <is>
          <t>JB-RICE 1 SCR + oxida-DI01</t>
        </is>
      </c>
      <c r="H4756" s="12" t="inlineStr">
        <is>
          <t>RICE 1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160</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I-I-0143</t>
        </is>
      </c>
      <c r="B4757" s="12" t="inlineStr">
        <is>
          <t>I</t>
        </is>
      </c>
      <c r="C4757" s="12" t="inlineStr">
        <is>
          <t>Modular / portable power</t>
        </is>
      </c>
      <c r="D4757" s="12" t="inlineStr">
        <is>
          <t>Analog instrument to JB JB-RICE 1 radiators (-AI01: 5 x 1 pr (field cables)</t>
        </is>
      </c>
      <c r="E4757" s="12" t="inlineStr"/>
      <c r="F4757" s="12" t="inlineStr">
        <is>
          <t>RICE 1 radiators (5)</t>
        </is>
      </c>
      <c r="G4757" s="12" t="inlineStr">
        <is>
          <t>JB-RICE 1 radiators (-AI01</t>
        </is>
      </c>
      <c r="H4757" s="12" t="inlineStr">
        <is>
          <t>RICE 1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I-I-0144</t>
        </is>
      </c>
      <c r="B4758" s="12" t="inlineStr">
        <is>
          <t>I</t>
        </is>
      </c>
      <c r="C4758" s="12" t="inlineStr">
        <is>
          <t>Modular / portable power</t>
        </is>
      </c>
      <c r="D4758" s="12" t="inlineStr">
        <is>
          <t>Home run JB-RICE 1 radiators (-AI01 to the control / marshalling room</t>
        </is>
      </c>
      <c r="E4758" s="12" t="inlineStr"/>
      <c r="F4758" s="12" t="inlineStr">
        <is>
          <t>PCM: power control module</t>
        </is>
      </c>
      <c r="G4758" s="12" t="inlineStr">
        <is>
          <t>JB-RICE 1 radiators (-AI01</t>
        </is>
      </c>
      <c r="H4758" s="12" t="inlineStr">
        <is>
          <t>RICE 1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711</v>
      </c>
      <c r="U4758" s="15" t="n">
        <v>139</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I-I-0145</t>
        </is>
      </c>
      <c r="B4759" s="12" t="inlineStr">
        <is>
          <t>I</t>
        </is>
      </c>
      <c r="C4759" s="12" t="inlineStr">
        <is>
          <t>Modular / portable power</t>
        </is>
      </c>
      <c r="D4759" s="12" t="inlineStr">
        <is>
          <t>Discrete device to JB JB-RICE 1 radiators (-DI01: 10 x 1 pr (field cables)</t>
        </is>
      </c>
      <c r="E4759" s="12" t="inlineStr"/>
      <c r="F4759" s="12" t="inlineStr">
        <is>
          <t>RICE 1 radiators (5)</t>
        </is>
      </c>
      <c r="G4759" s="12" t="inlineStr">
        <is>
          <t>JB-RICE 1 radiators (-DI01</t>
        </is>
      </c>
      <c r="H4759" s="12" t="inlineStr">
        <is>
          <t>RICE 1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I-I-0146</t>
        </is>
      </c>
      <c r="B4760" s="12" t="inlineStr">
        <is>
          <t>I</t>
        </is>
      </c>
      <c r="C4760" s="12" t="inlineStr">
        <is>
          <t>Modular / portable power</t>
        </is>
      </c>
      <c r="D4760" s="12" t="inlineStr">
        <is>
          <t>Home run JB-RICE 1 radiators (-DI01 to the control / marshalling room</t>
        </is>
      </c>
      <c r="E4760" s="12" t="inlineStr"/>
      <c r="F4760" s="12" t="inlineStr">
        <is>
          <t>PCM: power control module</t>
        </is>
      </c>
      <c r="G4760" s="12" t="inlineStr">
        <is>
          <t>JB-RICE 1 radiators (-DI01</t>
        </is>
      </c>
      <c r="H4760" s="12" t="inlineStr">
        <is>
          <t>RICE 1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711</v>
      </c>
      <c r="U4760" s="15" t="n">
        <v>139</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I-I-0147</t>
        </is>
      </c>
      <c r="B4761" s="12" t="inlineStr">
        <is>
          <t>I</t>
        </is>
      </c>
      <c r="C4761" s="12" t="inlineStr">
        <is>
          <t>Modular / portable power</t>
        </is>
      </c>
      <c r="D4761" s="12" t="inlineStr">
        <is>
          <t>Analog instrument to JB JB-RICE 2 SCR + oxida-AI01: 10 x 1 pr (field cables)</t>
        </is>
      </c>
      <c r="E4761" s="12" t="inlineStr"/>
      <c r="F4761" s="12" t="inlineStr">
        <is>
          <t>RICE 2 SCR + oxidation catalyst and stack</t>
        </is>
      </c>
      <c r="G4761" s="12" t="inlineStr">
        <is>
          <t>JB-RICE 2 SCR + oxida-AI01</t>
        </is>
      </c>
      <c r="H4761" s="12" t="inlineStr">
        <is>
          <t>RICE 2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I-I-0148</t>
        </is>
      </c>
      <c r="B4762" s="12" t="inlineStr">
        <is>
          <t>I</t>
        </is>
      </c>
      <c r="C4762" s="12" t="inlineStr">
        <is>
          <t>Modular / portable power</t>
        </is>
      </c>
      <c r="D4762" s="12" t="inlineStr">
        <is>
          <t>Home run JB-RICE 2 SCR + oxida-AI01 to the control / marshalling room</t>
        </is>
      </c>
      <c r="E4762" s="12" t="inlineStr"/>
      <c r="F4762" s="12" t="inlineStr">
        <is>
          <t>PCM: power control module</t>
        </is>
      </c>
      <c r="G4762" s="12" t="inlineStr">
        <is>
          <t>JB-RICE 2 SCR + oxida-AI01</t>
        </is>
      </c>
      <c r="H4762" s="12" t="inlineStr">
        <is>
          <t>RICE 2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132</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I-I-0149</t>
        </is>
      </c>
      <c r="B4763" s="12" t="inlineStr">
        <is>
          <t>I</t>
        </is>
      </c>
      <c r="C4763" s="12" t="inlineStr">
        <is>
          <t>Modular / portable power</t>
        </is>
      </c>
      <c r="D4763" s="12" t="inlineStr">
        <is>
          <t>Discrete device to JB JB-RICE 2 SCR + oxida-DI01: 6 x 1 pr (field cables)</t>
        </is>
      </c>
      <c r="E4763" s="12" t="inlineStr"/>
      <c r="F4763" s="12" t="inlineStr">
        <is>
          <t>RICE 2 SCR + oxidation catalyst and stack</t>
        </is>
      </c>
      <c r="G4763" s="12" t="inlineStr">
        <is>
          <t>JB-RICE 2 SCR + oxida-DI01</t>
        </is>
      </c>
      <c r="H4763" s="12" t="inlineStr">
        <is>
          <t>RICE 2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I-I-0150</t>
        </is>
      </c>
      <c r="B4764" s="12" t="inlineStr">
        <is>
          <t>I</t>
        </is>
      </c>
      <c r="C4764" s="12" t="inlineStr">
        <is>
          <t>Modular / portable power</t>
        </is>
      </c>
      <c r="D4764" s="12" t="inlineStr">
        <is>
          <t>Home run JB-RICE 2 SCR + oxida-DI01 to the control / marshalling room</t>
        </is>
      </c>
      <c r="E4764" s="12" t="inlineStr"/>
      <c r="F4764" s="12" t="inlineStr">
        <is>
          <t>PCM: power control module</t>
        </is>
      </c>
      <c r="G4764" s="12" t="inlineStr">
        <is>
          <t>JB-RICE 2 SCR + oxida-DI01</t>
        </is>
      </c>
      <c r="H4764" s="12" t="inlineStr">
        <is>
          <t>RICE 2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132</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I-I-0151</t>
        </is>
      </c>
      <c r="B4765" s="12" t="inlineStr">
        <is>
          <t>I</t>
        </is>
      </c>
      <c r="C4765" s="12" t="inlineStr">
        <is>
          <t>Modular / portable power</t>
        </is>
      </c>
      <c r="D4765" s="12" t="inlineStr">
        <is>
          <t>Analog instrument to JB JB-RICE 2 radiators (-AI01: 5 x 1 pr (field cables)</t>
        </is>
      </c>
      <c r="E4765" s="12" t="inlineStr"/>
      <c r="F4765" s="12" t="inlineStr">
        <is>
          <t>RICE 2 radiators (5)</t>
        </is>
      </c>
      <c r="G4765" s="12" t="inlineStr">
        <is>
          <t>JB-RICE 2 radiators (-AI01</t>
        </is>
      </c>
      <c r="H4765" s="12" t="inlineStr">
        <is>
          <t>RICE 2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I-I-0152</t>
        </is>
      </c>
      <c r="B4766" s="12" t="inlineStr">
        <is>
          <t>I</t>
        </is>
      </c>
      <c r="C4766" s="12" t="inlineStr">
        <is>
          <t>Modular / portable power</t>
        </is>
      </c>
      <c r="D4766" s="12" t="inlineStr">
        <is>
          <t>Home run JB-RICE 2 radiators (-AI01 to the control / marshalling room</t>
        </is>
      </c>
      <c r="E4766" s="12" t="inlineStr"/>
      <c r="F4766" s="12" t="inlineStr">
        <is>
          <t>PCM: power control module</t>
        </is>
      </c>
      <c r="G4766" s="12" t="inlineStr">
        <is>
          <t>JB-RICE 2 radiators (-AI01</t>
        </is>
      </c>
      <c r="H4766" s="12" t="inlineStr">
        <is>
          <t>RICE 2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5" t="n">
        <v>516</v>
      </c>
      <c r="U4766" s="15" t="n">
        <v>192</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I-I-0153</t>
        </is>
      </c>
      <c r="B4767" s="12" t="inlineStr">
        <is>
          <t>I</t>
        </is>
      </c>
      <c r="C4767" s="12" t="inlineStr">
        <is>
          <t>Modular / portable power</t>
        </is>
      </c>
      <c r="D4767" s="12" t="inlineStr">
        <is>
          <t>Discrete device to JB JB-RICE 2 radiators (-DI01: 10 x 1 pr (field cables)</t>
        </is>
      </c>
      <c r="E4767" s="12" t="inlineStr"/>
      <c r="F4767" s="12" t="inlineStr">
        <is>
          <t>RICE 2 radiators (5)</t>
        </is>
      </c>
      <c r="G4767" s="12" t="inlineStr">
        <is>
          <t>JB-RICE 2 radiators (-DI01</t>
        </is>
      </c>
      <c r="H4767" s="12" t="inlineStr">
        <is>
          <t>RICE 2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I-I-0154</t>
        </is>
      </c>
      <c r="B4768" s="12" t="inlineStr">
        <is>
          <t>I</t>
        </is>
      </c>
      <c r="C4768" s="12" t="inlineStr">
        <is>
          <t>Modular / portable power</t>
        </is>
      </c>
      <c r="D4768" s="12" t="inlineStr">
        <is>
          <t>Home run JB-RICE 2 radiators (-DI01 to the control / marshalling room</t>
        </is>
      </c>
      <c r="E4768" s="12" t="inlineStr"/>
      <c r="F4768" s="12" t="inlineStr">
        <is>
          <t>PCM: power control module</t>
        </is>
      </c>
      <c r="G4768" s="12" t="inlineStr">
        <is>
          <t>JB-RICE 2 radiators (-DI01</t>
        </is>
      </c>
      <c r="H4768" s="12" t="inlineStr">
        <is>
          <t>RICE 2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5" t="n">
        <v>516</v>
      </c>
      <c r="U4768" s="15" t="n">
        <v>192</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I-I-0155</t>
        </is>
      </c>
      <c r="B4769" s="12" t="inlineStr">
        <is>
          <t>I</t>
        </is>
      </c>
      <c r="C4769" s="12" t="inlineStr">
        <is>
          <t>Modular / portable power</t>
        </is>
      </c>
      <c r="D4769" s="12" t="inlineStr">
        <is>
          <t>Analog instrument to JB JB-RICE 3 SCR + oxida-AI01: 10 x 1 pr (field cables)</t>
        </is>
      </c>
      <c r="E4769" s="12" t="inlineStr"/>
      <c r="F4769" s="12" t="inlineStr">
        <is>
          <t>RICE 3 SCR + oxidation catalyst and stack</t>
        </is>
      </c>
      <c r="G4769" s="12" t="inlineStr">
        <is>
          <t>JB-RICE 3 SCR + oxida-AI01</t>
        </is>
      </c>
      <c r="H4769" s="12" t="inlineStr">
        <is>
          <t>RICE 3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I-I-0156</t>
        </is>
      </c>
      <c r="B4770" s="12" t="inlineStr">
        <is>
          <t>I</t>
        </is>
      </c>
      <c r="C4770" s="12" t="inlineStr">
        <is>
          <t>Modular / portable power</t>
        </is>
      </c>
      <c r="D4770" s="12" t="inlineStr">
        <is>
          <t>Home run JB-RICE 3 SCR + oxida-AI01 to the control / marshalling room</t>
        </is>
      </c>
      <c r="E4770" s="12" t="inlineStr"/>
      <c r="F4770" s="12" t="inlineStr">
        <is>
          <t>PCM: power control module</t>
        </is>
      </c>
      <c r="G4770" s="12" t="inlineStr">
        <is>
          <t>JB-RICE 3 SCR + oxida-AI01</t>
        </is>
      </c>
      <c r="H4770" s="12" t="inlineStr">
        <is>
          <t>RICE 3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436</v>
      </c>
      <c r="U4770" s="15" t="n">
        <v>104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I-I-0157</t>
        </is>
      </c>
      <c r="B4771" s="12" t="inlineStr">
        <is>
          <t>I</t>
        </is>
      </c>
      <c r="C4771" s="12" t="inlineStr">
        <is>
          <t>Modular / portable power</t>
        </is>
      </c>
      <c r="D4771" s="12" t="inlineStr">
        <is>
          <t>Discrete device to JB JB-RICE 3 SCR + oxida-DI01: 6 x 1 pr (field cables)</t>
        </is>
      </c>
      <c r="E4771" s="12" t="inlineStr"/>
      <c r="F4771" s="12" t="inlineStr">
        <is>
          <t>RICE 3 SCR + oxidation catalyst and stack</t>
        </is>
      </c>
      <c r="G4771" s="12" t="inlineStr">
        <is>
          <t>JB-RICE 3 SCR + oxida-DI01</t>
        </is>
      </c>
      <c r="H4771" s="12" t="inlineStr">
        <is>
          <t>RICE 3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I-I-0158</t>
        </is>
      </c>
      <c r="B4772" s="12" t="inlineStr">
        <is>
          <t>I</t>
        </is>
      </c>
      <c r="C4772" s="12" t="inlineStr">
        <is>
          <t>Modular / portable power</t>
        </is>
      </c>
      <c r="D4772" s="12" t="inlineStr">
        <is>
          <t>Home run JB-RICE 3 SCR + oxida-DI01 to the control / marshalling room</t>
        </is>
      </c>
      <c r="E4772" s="12" t="inlineStr"/>
      <c r="F4772" s="12" t="inlineStr">
        <is>
          <t>PCM: power control module</t>
        </is>
      </c>
      <c r="G4772" s="12" t="inlineStr">
        <is>
          <t>JB-RICE 3 SCR + oxida-DI01</t>
        </is>
      </c>
      <c r="H4772" s="12" t="inlineStr">
        <is>
          <t>RICE 3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436</v>
      </c>
      <c r="U4772" s="15" t="n">
        <v>104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I-I-0159</t>
        </is>
      </c>
      <c r="B4773" s="12" t="inlineStr">
        <is>
          <t>I</t>
        </is>
      </c>
      <c r="C4773" s="12" t="inlineStr">
        <is>
          <t>Modular / portable power</t>
        </is>
      </c>
      <c r="D4773" s="12" t="inlineStr">
        <is>
          <t>Analog instrument to JB JB-RICE 3 radiators (-AI01: 5 x 1 pr (field cables)</t>
        </is>
      </c>
      <c r="E4773" s="12" t="inlineStr"/>
      <c r="F4773" s="12" t="inlineStr">
        <is>
          <t>RICE 3 radiators (5)</t>
        </is>
      </c>
      <c r="G4773" s="12" t="inlineStr">
        <is>
          <t>JB-RICE 3 radiators (-AI01</t>
        </is>
      </c>
      <c r="H4773" s="12" t="inlineStr">
        <is>
          <t>RICE 3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I-I-0160</t>
        </is>
      </c>
      <c r="B4774" s="12" t="inlineStr">
        <is>
          <t>I</t>
        </is>
      </c>
      <c r="C4774" s="12" t="inlineStr">
        <is>
          <t>Modular / portable power</t>
        </is>
      </c>
      <c r="D4774" s="12" t="inlineStr">
        <is>
          <t>Home run JB-RICE 3 radiators (-AI01 to the control / marshalling room</t>
        </is>
      </c>
      <c r="E4774" s="12" t="inlineStr"/>
      <c r="F4774" s="12" t="inlineStr">
        <is>
          <t>PCM: power control module</t>
        </is>
      </c>
      <c r="G4774" s="12" t="inlineStr">
        <is>
          <t>JB-RICE 3 radiators (-AI01</t>
        </is>
      </c>
      <c r="H4774" s="12" t="inlineStr">
        <is>
          <t>RICE 3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5" t="n">
        <v>344</v>
      </c>
      <c r="U4774" s="15" t="n">
        <v>240</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I-I-0161</t>
        </is>
      </c>
      <c r="B4775" s="12" t="inlineStr">
        <is>
          <t>I</t>
        </is>
      </c>
      <c r="C4775" s="12" t="inlineStr">
        <is>
          <t>Modular / portable power</t>
        </is>
      </c>
      <c r="D4775" s="12" t="inlineStr">
        <is>
          <t>Discrete device to JB JB-RICE 3 radiators (-DI01: 10 x 1 pr (field cables)</t>
        </is>
      </c>
      <c r="E4775" s="12" t="inlineStr"/>
      <c r="F4775" s="12" t="inlineStr">
        <is>
          <t>RICE 3 radiators (5)</t>
        </is>
      </c>
      <c r="G4775" s="12" t="inlineStr">
        <is>
          <t>JB-RICE 3 radiators (-DI01</t>
        </is>
      </c>
      <c r="H4775" s="12" t="inlineStr">
        <is>
          <t>RICE 3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I-I-0162</t>
        </is>
      </c>
      <c r="B4776" s="12" t="inlineStr">
        <is>
          <t>I</t>
        </is>
      </c>
      <c r="C4776" s="12" t="inlineStr">
        <is>
          <t>Modular / portable power</t>
        </is>
      </c>
      <c r="D4776" s="12" t="inlineStr">
        <is>
          <t>Home run JB-RICE 3 radiators (-DI01 to the control / marshalling room</t>
        </is>
      </c>
      <c r="E4776" s="12" t="inlineStr"/>
      <c r="F4776" s="12" t="inlineStr">
        <is>
          <t>PCM: power control module</t>
        </is>
      </c>
      <c r="G4776" s="12" t="inlineStr">
        <is>
          <t>JB-RICE 3 radiators (-DI01</t>
        </is>
      </c>
      <c r="H4776" s="12" t="inlineStr">
        <is>
          <t>RICE 3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5" t="n">
        <v>344</v>
      </c>
      <c r="U4776" s="15" t="n">
        <v>240</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I-I-0163</t>
        </is>
      </c>
      <c r="B4777" s="12" t="inlineStr">
        <is>
          <t>I</t>
        </is>
      </c>
      <c r="C4777" s="12" t="inlineStr">
        <is>
          <t>Modular / portable power</t>
        </is>
      </c>
      <c r="D4777" s="12" t="inlineStr">
        <is>
          <t>Analog instrument to JB JB-RICE 4 SCR + oxida-AI01: 10 x 1 pr (field cables)</t>
        </is>
      </c>
      <c r="E4777" s="12" t="inlineStr"/>
      <c r="F4777" s="12" t="inlineStr">
        <is>
          <t>RICE 4 SCR + oxidation catalyst and stack</t>
        </is>
      </c>
      <c r="G4777" s="12" t="inlineStr">
        <is>
          <t>JB-RICE 4 SCR + oxida-AI01</t>
        </is>
      </c>
      <c r="H4777" s="12" t="inlineStr">
        <is>
          <t>RICE 4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I-I-0164</t>
        </is>
      </c>
      <c r="B4778" s="12" t="inlineStr">
        <is>
          <t>I</t>
        </is>
      </c>
      <c r="C4778" s="12" t="inlineStr">
        <is>
          <t>Modular / portable power</t>
        </is>
      </c>
      <c r="D4778" s="12" t="inlineStr">
        <is>
          <t>Home run JB-RICE 4 SCR + oxida-AI01 to the control / marshalling room</t>
        </is>
      </c>
      <c r="E4778" s="12" t="inlineStr"/>
      <c r="F4778" s="12" t="inlineStr">
        <is>
          <t>PCM: power control module</t>
        </is>
      </c>
      <c r="G4778" s="12" t="inlineStr">
        <is>
          <t>JB-RICE 4 SCR + oxida-AI01</t>
        </is>
      </c>
      <c r="H4778" s="12" t="inlineStr">
        <is>
          <t>RICE 4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436</v>
      </c>
      <c r="U4778" s="15" t="n">
        <v>76</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I-I-0165</t>
        </is>
      </c>
      <c r="B4779" s="12" t="inlineStr">
        <is>
          <t>I</t>
        </is>
      </c>
      <c r="C4779" s="12" t="inlineStr">
        <is>
          <t>Modular / portable power</t>
        </is>
      </c>
      <c r="D4779" s="12" t="inlineStr">
        <is>
          <t>Discrete device to JB JB-RICE 4 SCR + oxida-DI01: 6 x 1 pr (field cables)</t>
        </is>
      </c>
      <c r="E4779" s="12" t="inlineStr"/>
      <c r="F4779" s="12" t="inlineStr">
        <is>
          <t>RICE 4 SCR + oxidation catalyst and stack</t>
        </is>
      </c>
      <c r="G4779" s="12" t="inlineStr">
        <is>
          <t>JB-RICE 4 SCR + oxida-DI01</t>
        </is>
      </c>
      <c r="H4779" s="12" t="inlineStr">
        <is>
          <t>RICE 4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I-I-0166</t>
        </is>
      </c>
      <c r="B4780" s="12" t="inlineStr">
        <is>
          <t>I</t>
        </is>
      </c>
      <c r="C4780" s="12" t="inlineStr">
        <is>
          <t>Modular / portable power</t>
        </is>
      </c>
      <c r="D4780" s="12" t="inlineStr">
        <is>
          <t>Home run JB-RICE 4 SCR + oxida-DI01 to the control / marshalling room</t>
        </is>
      </c>
      <c r="E4780" s="12" t="inlineStr"/>
      <c r="F4780" s="12" t="inlineStr">
        <is>
          <t>PCM: power control module</t>
        </is>
      </c>
      <c r="G4780" s="12" t="inlineStr">
        <is>
          <t>JB-RICE 4 SCR + oxida-DI01</t>
        </is>
      </c>
      <c r="H4780" s="12" t="inlineStr">
        <is>
          <t>RICE 4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436</v>
      </c>
      <c r="U4780" s="15" t="n">
        <v>76</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I-I-0167</t>
        </is>
      </c>
      <c r="B4781" s="12" t="inlineStr">
        <is>
          <t>I</t>
        </is>
      </c>
      <c r="C4781" s="12" t="inlineStr">
        <is>
          <t>Modular / portable power</t>
        </is>
      </c>
      <c r="D4781" s="12" t="inlineStr">
        <is>
          <t>Analog instrument to JB JB-RICE 4 radiators (-AI01: 5 x 1 pr (field cables)</t>
        </is>
      </c>
      <c r="E4781" s="12" t="inlineStr"/>
      <c r="F4781" s="12" t="inlineStr">
        <is>
          <t>RICE 4 radiators (5)</t>
        </is>
      </c>
      <c r="G4781" s="12" t="inlineStr">
        <is>
          <t>JB-RICE 4 radiators (-AI01</t>
        </is>
      </c>
      <c r="H4781" s="12" t="inlineStr">
        <is>
          <t>RICE 4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I-I-0168</t>
        </is>
      </c>
      <c r="B4782" s="12" t="inlineStr">
        <is>
          <t>I</t>
        </is>
      </c>
      <c r="C4782" s="12" t="inlineStr">
        <is>
          <t>Modular / portable power</t>
        </is>
      </c>
      <c r="D4782" s="12" t="inlineStr">
        <is>
          <t>Home run JB-RICE 4 radiators (-AI01 to the control / marshalling room</t>
        </is>
      </c>
      <c r="E4782" s="12" t="inlineStr"/>
      <c r="F4782" s="12" t="inlineStr">
        <is>
          <t>PCM: power control module</t>
        </is>
      </c>
      <c r="G4782" s="12" t="inlineStr">
        <is>
          <t>JB-RICE 4 radiators (-AI01</t>
        </is>
      </c>
      <c r="H4782" s="12" t="inlineStr">
        <is>
          <t>RICE 4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206</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I-I-0169</t>
        </is>
      </c>
      <c r="B4783" s="12" t="inlineStr">
        <is>
          <t>I</t>
        </is>
      </c>
      <c r="C4783" s="12" t="inlineStr">
        <is>
          <t>Modular / portable power</t>
        </is>
      </c>
      <c r="D4783" s="12" t="inlineStr">
        <is>
          <t>Discrete device to JB JB-RICE 4 radiators (-DI01: 10 x 1 pr (field cables)</t>
        </is>
      </c>
      <c r="E4783" s="12" t="inlineStr"/>
      <c r="F4783" s="12" t="inlineStr">
        <is>
          <t>RICE 4 radiators (5)</t>
        </is>
      </c>
      <c r="G4783" s="12" t="inlineStr">
        <is>
          <t>JB-RICE 4 radiators (-DI01</t>
        </is>
      </c>
      <c r="H4783" s="12" t="inlineStr">
        <is>
          <t>RICE 4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I-I-0170</t>
        </is>
      </c>
      <c r="B4784" s="12" t="inlineStr">
        <is>
          <t>I</t>
        </is>
      </c>
      <c r="C4784" s="12" t="inlineStr">
        <is>
          <t>Modular / portable power</t>
        </is>
      </c>
      <c r="D4784" s="12" t="inlineStr">
        <is>
          <t>Home run JB-RICE 4 radiators (-DI01 to the control / marshalling room</t>
        </is>
      </c>
      <c r="E4784" s="12" t="inlineStr"/>
      <c r="F4784" s="12" t="inlineStr">
        <is>
          <t>PCM: power control module</t>
        </is>
      </c>
      <c r="G4784" s="12" t="inlineStr">
        <is>
          <t>JB-RICE 4 radiators (-DI01</t>
        </is>
      </c>
      <c r="H4784" s="12" t="inlineStr">
        <is>
          <t>RICE 4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206</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I-I-0171</t>
        </is>
      </c>
      <c r="B4785" s="12" t="inlineStr">
        <is>
          <t>I</t>
        </is>
      </c>
      <c r="C4785" s="12" t="inlineStr">
        <is>
          <t>Modular / portable power</t>
        </is>
      </c>
      <c r="D4785" s="12" t="inlineStr">
        <is>
          <t>Analog instrument to JB JB-RICE 5 SCR + oxida-AI01: 10 x 1 pr (field cables)</t>
        </is>
      </c>
      <c r="E4785" s="12" t="inlineStr"/>
      <c r="F4785" s="12" t="inlineStr">
        <is>
          <t>RICE 5 SCR + oxidation catalyst and stack</t>
        </is>
      </c>
      <c r="G4785" s="12" t="inlineStr">
        <is>
          <t>JB-RICE 5 SCR + oxida-AI01</t>
        </is>
      </c>
      <c r="H4785" s="12" t="inlineStr">
        <is>
          <t>RICE 5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I-I-0172</t>
        </is>
      </c>
      <c r="B4786" s="12" t="inlineStr">
        <is>
          <t>I</t>
        </is>
      </c>
      <c r="C4786" s="12" t="inlineStr">
        <is>
          <t>Modular / portable power</t>
        </is>
      </c>
      <c r="D4786" s="12" t="inlineStr">
        <is>
          <t>Home run JB-RICE 5 SCR + oxida-AI01 to the control / marshalling room</t>
        </is>
      </c>
      <c r="E4786" s="12" t="inlineStr"/>
      <c r="F4786" s="12" t="inlineStr">
        <is>
          <t>PCM: power control module</t>
        </is>
      </c>
      <c r="G4786" s="12" t="inlineStr">
        <is>
          <t>JB-RICE 5 SCR + oxida-AI01</t>
        </is>
      </c>
      <c r="H4786" s="12" t="inlineStr">
        <is>
          <t>RICE 5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158</v>
      </c>
      <c r="U4786" s="15" t="n">
        <v>164</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I-I-0173</t>
        </is>
      </c>
      <c r="B4787" s="12" t="inlineStr">
        <is>
          <t>I</t>
        </is>
      </c>
      <c r="C4787" s="12" t="inlineStr">
        <is>
          <t>Modular / portable power</t>
        </is>
      </c>
      <c r="D4787" s="12" t="inlineStr">
        <is>
          <t>Discrete device to JB JB-RICE 5 SCR + oxida-DI01: 6 x 1 pr (field cables)</t>
        </is>
      </c>
      <c r="E4787" s="12" t="inlineStr"/>
      <c r="F4787" s="12" t="inlineStr">
        <is>
          <t>RICE 5 SCR + oxidation catalyst and stack</t>
        </is>
      </c>
      <c r="G4787" s="12" t="inlineStr">
        <is>
          <t>JB-RICE 5 SCR + oxida-DI01</t>
        </is>
      </c>
      <c r="H4787" s="12" t="inlineStr">
        <is>
          <t>RICE 5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I-I-0174</t>
        </is>
      </c>
      <c r="B4788" s="12" t="inlineStr">
        <is>
          <t>I</t>
        </is>
      </c>
      <c r="C4788" s="12" t="inlineStr">
        <is>
          <t>Modular / portable power</t>
        </is>
      </c>
      <c r="D4788" s="12" t="inlineStr">
        <is>
          <t>Home run JB-RICE 5 SCR + oxida-DI01 to the control / marshalling room</t>
        </is>
      </c>
      <c r="E4788" s="12" t="inlineStr"/>
      <c r="F4788" s="12" t="inlineStr">
        <is>
          <t>PCM: power control module</t>
        </is>
      </c>
      <c r="G4788" s="12" t="inlineStr">
        <is>
          <t>JB-RICE 5 SCR + oxida-DI01</t>
        </is>
      </c>
      <c r="H4788" s="12" t="inlineStr">
        <is>
          <t>RICE 5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158</v>
      </c>
      <c r="U4788" s="15" t="n">
        <v>164</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I-I-0175</t>
        </is>
      </c>
      <c r="B4789" s="12" t="inlineStr">
        <is>
          <t>I</t>
        </is>
      </c>
      <c r="C4789" s="12" t="inlineStr">
        <is>
          <t>Modular / portable power</t>
        </is>
      </c>
      <c r="D4789" s="12" t="inlineStr">
        <is>
          <t>Analog instrument to JB JB-RICE 5 radiators (-AI01: 5 x 1 pr (field cables)</t>
        </is>
      </c>
      <c r="E4789" s="12" t="inlineStr"/>
      <c r="F4789" s="12" t="inlineStr">
        <is>
          <t>RICE 5 radiators (5)</t>
        </is>
      </c>
      <c r="G4789" s="12" t="inlineStr">
        <is>
          <t>JB-RICE 5 radiators (-AI01</t>
        </is>
      </c>
      <c r="H4789" s="12" t="inlineStr">
        <is>
          <t>RICE 5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I-I-0176</t>
        </is>
      </c>
      <c r="B4790" s="12" t="inlineStr">
        <is>
          <t>I</t>
        </is>
      </c>
      <c r="C4790" s="12" t="inlineStr">
        <is>
          <t>Modular / portable power</t>
        </is>
      </c>
      <c r="D4790" s="12" t="inlineStr">
        <is>
          <t>Home run JB-RICE 5 radiators (-AI01 to the control / marshalling room</t>
        </is>
      </c>
      <c r="E4790" s="12" t="inlineStr"/>
      <c r="F4790" s="12" t="inlineStr">
        <is>
          <t>PCM: power control module</t>
        </is>
      </c>
      <c r="G4790" s="12" t="inlineStr">
        <is>
          <t>JB-RICE 5 radiators (-AI01</t>
        </is>
      </c>
      <c r="H4790" s="12" t="inlineStr">
        <is>
          <t>RICE 5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178</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I-I-0177</t>
        </is>
      </c>
      <c r="B4791" s="12" t="inlineStr">
        <is>
          <t>I</t>
        </is>
      </c>
      <c r="C4791" s="12" t="inlineStr">
        <is>
          <t>Modular / portable power</t>
        </is>
      </c>
      <c r="D4791" s="12" t="inlineStr">
        <is>
          <t>Discrete device to JB JB-RICE 5 radiators (-DI01: 10 x 1 pr (field cables)</t>
        </is>
      </c>
      <c r="E4791" s="12" t="inlineStr"/>
      <c r="F4791" s="12" t="inlineStr">
        <is>
          <t>RICE 5 radiators (5)</t>
        </is>
      </c>
      <c r="G4791" s="12" t="inlineStr">
        <is>
          <t>JB-RICE 5 radiators (-DI01</t>
        </is>
      </c>
      <c r="H4791" s="12" t="inlineStr">
        <is>
          <t>RICE 5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I-I-0178</t>
        </is>
      </c>
      <c r="B4792" s="12" t="inlineStr">
        <is>
          <t>I</t>
        </is>
      </c>
      <c r="C4792" s="12" t="inlineStr">
        <is>
          <t>Modular / portable power</t>
        </is>
      </c>
      <c r="D4792" s="12" t="inlineStr">
        <is>
          <t>Home run JB-RICE 5 radiators (-DI01 to the control / marshalling room</t>
        </is>
      </c>
      <c r="E4792" s="12" t="inlineStr"/>
      <c r="F4792" s="12" t="inlineStr">
        <is>
          <t>PCM: power control module</t>
        </is>
      </c>
      <c r="G4792" s="12" t="inlineStr">
        <is>
          <t>JB-RICE 5 radiators (-DI01</t>
        </is>
      </c>
      <c r="H4792" s="12" t="inlineStr">
        <is>
          <t>RICE 5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178</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I-I-0179</t>
        </is>
      </c>
      <c r="B4793" s="12" t="inlineStr">
        <is>
          <t>I</t>
        </is>
      </c>
      <c r="C4793" s="12" t="inlineStr">
        <is>
          <t>Modular / portable power</t>
        </is>
      </c>
      <c r="D4793" s="12" t="inlineStr">
        <is>
          <t>Analog instrument to JB JB-RICE 6 SCR + oxida-AI01: 10 x 1 pr (field cables)</t>
        </is>
      </c>
      <c r="E4793" s="12" t="inlineStr"/>
      <c r="F4793" s="12" t="inlineStr">
        <is>
          <t>RICE 6 SCR + oxidation catalyst and stack</t>
        </is>
      </c>
      <c r="G4793" s="12" t="inlineStr">
        <is>
          <t>JB-RICE 6 SCR + oxida-AI01</t>
        </is>
      </c>
      <c r="H4793" s="12" t="inlineStr">
        <is>
          <t>RICE 6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I-I-0180</t>
        </is>
      </c>
      <c r="B4794" s="12" t="inlineStr">
        <is>
          <t>I</t>
        </is>
      </c>
      <c r="C4794" s="12" t="inlineStr">
        <is>
          <t>Modular / portable power</t>
        </is>
      </c>
      <c r="D4794" s="12" t="inlineStr">
        <is>
          <t>Home run JB-RICE 6 SCR + oxida-AI01 to the control / marshalling room</t>
        </is>
      </c>
      <c r="E4794" s="12" t="inlineStr"/>
      <c r="F4794" s="12" t="inlineStr">
        <is>
          <t>PCM: power control module</t>
        </is>
      </c>
      <c r="G4794" s="12" t="inlineStr">
        <is>
          <t>JB-RICE 6 SCR + oxida-AI01</t>
        </is>
      </c>
      <c r="H4794" s="12" t="inlineStr">
        <is>
          <t>RICE 6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153</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I-I-0181</t>
        </is>
      </c>
      <c r="B4795" s="12" t="inlineStr">
        <is>
          <t>I</t>
        </is>
      </c>
      <c r="C4795" s="12" t="inlineStr">
        <is>
          <t>Modular / portable power</t>
        </is>
      </c>
      <c r="D4795" s="12" t="inlineStr">
        <is>
          <t>Discrete device to JB JB-RICE 6 SCR + oxida-DI01: 6 x 1 pr (field cables)</t>
        </is>
      </c>
      <c r="E4795" s="12" t="inlineStr"/>
      <c r="F4795" s="12" t="inlineStr">
        <is>
          <t>RICE 6 SCR + oxidation catalyst and stack</t>
        </is>
      </c>
      <c r="G4795" s="12" t="inlineStr">
        <is>
          <t>JB-RICE 6 SCR + oxida-DI01</t>
        </is>
      </c>
      <c r="H4795" s="12" t="inlineStr">
        <is>
          <t>RICE 6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I-I-0182</t>
        </is>
      </c>
      <c r="B4796" s="12" t="inlineStr">
        <is>
          <t>I</t>
        </is>
      </c>
      <c r="C4796" s="12" t="inlineStr">
        <is>
          <t>Modular / portable power</t>
        </is>
      </c>
      <c r="D4796" s="12" t="inlineStr">
        <is>
          <t>Home run JB-RICE 6 SCR + oxida-DI01 to the control / marshalling room</t>
        </is>
      </c>
      <c r="E4796" s="12" t="inlineStr"/>
      <c r="F4796" s="12" t="inlineStr">
        <is>
          <t>PCM: power control module</t>
        </is>
      </c>
      <c r="G4796" s="12" t="inlineStr">
        <is>
          <t>JB-RICE 6 SCR + oxida-DI01</t>
        </is>
      </c>
      <c r="H4796" s="12" t="inlineStr">
        <is>
          <t>RICE 6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153</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I-I-0183</t>
        </is>
      </c>
      <c r="B4797" s="12" t="inlineStr">
        <is>
          <t>I</t>
        </is>
      </c>
      <c r="C4797" s="12" t="inlineStr">
        <is>
          <t>Modular / portable power</t>
        </is>
      </c>
      <c r="D4797" s="12" t="inlineStr">
        <is>
          <t>Analog instrument to JB JB-RICE 6 radiators (-AI01: 5 x 1 pr (field cables)</t>
        </is>
      </c>
      <c r="E4797" s="12" t="inlineStr"/>
      <c r="F4797" s="12" t="inlineStr">
        <is>
          <t>RICE 6 radiators (5)</t>
        </is>
      </c>
      <c r="G4797" s="12" t="inlineStr">
        <is>
          <t>JB-RICE 6 radiators (-AI01</t>
        </is>
      </c>
      <c r="H4797" s="12" t="inlineStr">
        <is>
          <t>RICE 6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I-I-0184</t>
        </is>
      </c>
      <c r="B4798" s="12" t="inlineStr">
        <is>
          <t>I</t>
        </is>
      </c>
      <c r="C4798" s="12" t="inlineStr">
        <is>
          <t>Modular / portable power</t>
        </is>
      </c>
      <c r="D4798" s="12" t="inlineStr">
        <is>
          <t>Home run JB-RICE 6 radiators (-AI01 to the control / marshalling room</t>
        </is>
      </c>
      <c r="E4798" s="12" t="inlineStr"/>
      <c r="F4798" s="12" t="inlineStr">
        <is>
          <t>PCM: power control module</t>
        </is>
      </c>
      <c r="G4798" s="12" t="inlineStr">
        <is>
          <t>JB-RICE 6 radiators (-AI01</t>
        </is>
      </c>
      <c r="H4798" s="12" t="inlineStr">
        <is>
          <t>RICE 6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150</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I-I-0185</t>
        </is>
      </c>
      <c r="B4799" s="12" t="inlineStr">
        <is>
          <t>I</t>
        </is>
      </c>
      <c r="C4799" s="12" t="inlineStr">
        <is>
          <t>Modular / portable power</t>
        </is>
      </c>
      <c r="D4799" s="12" t="inlineStr">
        <is>
          <t>Discrete device to JB JB-RICE 6 radiators (-DI01: 10 x 1 pr (field cables)</t>
        </is>
      </c>
      <c r="E4799" s="12" t="inlineStr"/>
      <c r="F4799" s="12" t="inlineStr">
        <is>
          <t>RICE 6 radiators (5)</t>
        </is>
      </c>
      <c r="G4799" s="12" t="inlineStr">
        <is>
          <t>JB-RICE 6 radiators (-DI01</t>
        </is>
      </c>
      <c r="H4799" s="12" t="inlineStr">
        <is>
          <t>RICE 6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I-I-0186</t>
        </is>
      </c>
      <c r="B4800" s="12" t="inlineStr">
        <is>
          <t>I</t>
        </is>
      </c>
      <c r="C4800" s="12" t="inlineStr">
        <is>
          <t>Modular / portable power</t>
        </is>
      </c>
      <c r="D4800" s="12" t="inlineStr">
        <is>
          <t>Home run JB-RICE 6 radiators (-DI01 to the control / marshalling room</t>
        </is>
      </c>
      <c r="E4800" s="12" t="inlineStr"/>
      <c r="F4800" s="12" t="inlineStr">
        <is>
          <t>PCM: power control module</t>
        </is>
      </c>
      <c r="G4800" s="12" t="inlineStr">
        <is>
          <t>JB-RICE 6 radiators (-DI01</t>
        </is>
      </c>
      <c r="H4800" s="12" t="inlineStr">
        <is>
          <t>RICE 6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150</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I-I-0187</t>
        </is>
      </c>
      <c r="B4801" s="12" t="inlineStr">
        <is>
          <t>I</t>
        </is>
      </c>
      <c r="C4801" s="12" t="inlineStr">
        <is>
          <t>Modular / portable power</t>
        </is>
      </c>
      <c r="D4801" s="12" t="inlineStr">
        <is>
          <t>Analog instrument to JB JB-RICE 7 SCR + oxida-AI01: 10 x 1 pr (field cables)</t>
        </is>
      </c>
      <c r="E4801" s="12" t="inlineStr"/>
      <c r="F4801" s="12" t="inlineStr">
        <is>
          <t>RICE 7 SCR + oxidation catalyst and stack</t>
        </is>
      </c>
      <c r="G4801" s="12" t="inlineStr">
        <is>
          <t>JB-RICE 7 SCR + oxida-AI01</t>
        </is>
      </c>
      <c r="H4801" s="12" t="inlineStr">
        <is>
          <t>RICE 7 SCR + oxidation catalyst and stack</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10</v>
      </c>
      <c r="O4801" s="12" t="n">
        <v>1</v>
      </c>
      <c r="P4801" s="12" t="n"/>
      <c r="Q4801" s="12" t="n"/>
      <c r="R4801" s="12" t="n"/>
      <c r="S4801" s="12" t="inlineStr">
        <is>
          <t>Tray / conduit</t>
        </is>
      </c>
      <c r="T4801" s="15" t="n">
        <v>92</v>
      </c>
      <c r="U4801" s="15" t="n">
        <v>10</v>
      </c>
      <c r="V4801" s="15">
        <f>ROUNDUP((T4801+U4801+2*'Read Me'!$B$13)*(1+'Read Me'!$B$12),-1)</f>
        <v/>
      </c>
      <c r="W4801" s="15">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I-I-0188</t>
        </is>
      </c>
      <c r="B4802" s="12" t="inlineStr">
        <is>
          <t>I</t>
        </is>
      </c>
      <c r="C4802" s="12" t="inlineStr">
        <is>
          <t>Modular / portable power</t>
        </is>
      </c>
      <c r="D4802" s="12" t="inlineStr">
        <is>
          <t>Home run JB-RICE 7 SCR + oxida-AI01 to the control / marshalling room</t>
        </is>
      </c>
      <c r="E4802" s="12" t="inlineStr"/>
      <c r="F4802" s="12" t="inlineStr">
        <is>
          <t>PCM: power control module</t>
        </is>
      </c>
      <c r="G4802" s="12" t="inlineStr">
        <is>
          <t>JB-RICE 7 SCR + oxida-AI01</t>
        </is>
      </c>
      <c r="H4802" s="12" t="inlineStr">
        <is>
          <t>RICE 7 SCR + oxidation catalyst and stack</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5" t="n">
        <v>113</v>
      </c>
      <c r="U4802" s="15" t="n">
        <v>125</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I-I-0189</t>
        </is>
      </c>
      <c r="B4803" s="12" t="inlineStr">
        <is>
          <t>I</t>
        </is>
      </c>
      <c r="C4803" s="12" t="inlineStr">
        <is>
          <t>Modular / portable power</t>
        </is>
      </c>
      <c r="D4803" s="12" t="inlineStr">
        <is>
          <t>Discrete device to JB JB-RICE 7 SCR + oxida-DI01: 6 x 1 pr (field cables)</t>
        </is>
      </c>
      <c r="E4803" s="12" t="inlineStr"/>
      <c r="F4803" s="12" t="inlineStr">
        <is>
          <t>RICE 7 SCR + oxidation catalyst and stack</t>
        </is>
      </c>
      <c r="G4803" s="12" t="inlineStr">
        <is>
          <t>JB-RICE 7 SCR + oxida-DI01</t>
        </is>
      </c>
      <c r="H4803" s="12" t="inlineStr">
        <is>
          <t>RICE 7 SCR + oxidation catalyst and stack</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6</v>
      </c>
      <c r="O4803" s="12" t="n">
        <v>1</v>
      </c>
      <c r="P4803" s="12" t="n"/>
      <c r="Q4803" s="12" t="n"/>
      <c r="R4803" s="12" t="n"/>
      <c r="S4803" s="12" t="inlineStr">
        <is>
          <t>Tray / conduit</t>
        </is>
      </c>
      <c r="T4803" s="15" t="n">
        <v>92</v>
      </c>
      <c r="U4803" s="15" t="n">
        <v>10</v>
      </c>
      <c r="V4803" s="15">
        <f>ROUNDUP((T4803+U4803+2*'Read Me'!$B$13)*(1+'Read Me'!$B$12),-1)</f>
        <v/>
      </c>
      <c r="W4803" s="15">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I-I-0190</t>
        </is>
      </c>
      <c r="B4804" s="12" t="inlineStr">
        <is>
          <t>I</t>
        </is>
      </c>
      <c r="C4804" s="12" t="inlineStr">
        <is>
          <t>Modular / portable power</t>
        </is>
      </c>
      <c r="D4804" s="12" t="inlineStr">
        <is>
          <t>Home run JB-RICE 7 SCR + oxida-DI01 to the control / marshalling room</t>
        </is>
      </c>
      <c r="E4804" s="12" t="inlineStr"/>
      <c r="F4804" s="12" t="inlineStr">
        <is>
          <t>PCM: power control module</t>
        </is>
      </c>
      <c r="G4804" s="12" t="inlineStr">
        <is>
          <t>JB-RICE 7 SCR + oxida-DI01</t>
        </is>
      </c>
      <c r="H4804" s="12" t="inlineStr">
        <is>
          <t>RICE 7 SCR + oxidation catalyst and stack</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5" t="n">
        <v>113</v>
      </c>
      <c r="U4804" s="15" t="n">
        <v>125</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I-I-0191</t>
        </is>
      </c>
      <c r="B4805" s="12" t="inlineStr">
        <is>
          <t>I</t>
        </is>
      </c>
      <c r="C4805" s="12" t="inlineStr">
        <is>
          <t>Modular / portable power</t>
        </is>
      </c>
      <c r="D4805" s="12" t="inlineStr">
        <is>
          <t>Analog instrument to JB JB-RICE 7 radiators (-AI01: 5 x 1 pr (field cables)</t>
        </is>
      </c>
      <c r="E4805" s="12" t="inlineStr"/>
      <c r="F4805" s="12" t="inlineStr">
        <is>
          <t>RICE 7 radiators (5)</t>
        </is>
      </c>
      <c r="G4805" s="12" t="inlineStr">
        <is>
          <t>JB-RICE 7 radiators (-AI01</t>
        </is>
      </c>
      <c r="H4805" s="12" t="inlineStr">
        <is>
          <t>RICE 7 radiators (5)</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5</v>
      </c>
      <c r="O4805" s="12" t="n">
        <v>1</v>
      </c>
      <c r="P4805" s="12" t="n"/>
      <c r="Q4805" s="12" t="n"/>
      <c r="R4805" s="12" t="n"/>
      <c r="S4805" s="12" t="inlineStr">
        <is>
          <t>Tray / conduit</t>
        </is>
      </c>
      <c r="T4805" s="15" t="n">
        <v>80</v>
      </c>
      <c r="U4805" s="15" t="n">
        <v>10</v>
      </c>
      <c r="V4805" s="15">
        <f>ROUNDUP((T4805+U4805+2*'Read Me'!$B$13)*(1+'Read Me'!$B$12),-1)</f>
        <v/>
      </c>
      <c r="W4805" s="15">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I-I-0192</t>
        </is>
      </c>
      <c r="B4806" s="12" t="inlineStr">
        <is>
          <t>I</t>
        </is>
      </c>
      <c r="C4806" s="12" t="inlineStr">
        <is>
          <t>Modular / portable power</t>
        </is>
      </c>
      <c r="D4806" s="12" t="inlineStr">
        <is>
          <t>Home run JB-RICE 7 radiators (-AI01 to the control / marshalling room</t>
        </is>
      </c>
      <c r="E4806" s="12" t="inlineStr"/>
      <c r="F4806" s="12" t="inlineStr">
        <is>
          <t>PCM: power control module</t>
        </is>
      </c>
      <c r="G4806" s="12" t="inlineStr">
        <is>
          <t>JB-RICE 7 radiators (-AI01</t>
        </is>
      </c>
      <c r="H4806" s="12" t="inlineStr">
        <is>
          <t>RICE 7 radiators (5)</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5" t="n">
        <v>0</v>
      </c>
      <c r="U4806" s="15" t="n">
        <v>122</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I-I-0193</t>
        </is>
      </c>
      <c r="B4807" s="12" t="inlineStr">
        <is>
          <t>I</t>
        </is>
      </c>
      <c r="C4807" s="12" t="inlineStr">
        <is>
          <t>Modular / portable power</t>
        </is>
      </c>
      <c r="D4807" s="12" t="inlineStr">
        <is>
          <t>Discrete device to JB JB-RICE 7 radiators (-DI01: 10 x 1 pr (field cables)</t>
        </is>
      </c>
      <c r="E4807" s="12" t="inlineStr"/>
      <c r="F4807" s="12" t="inlineStr">
        <is>
          <t>RICE 7 radiators (5)</t>
        </is>
      </c>
      <c r="G4807" s="12" t="inlineStr">
        <is>
          <t>JB-RICE 7 radiators (-DI01</t>
        </is>
      </c>
      <c r="H4807" s="12" t="inlineStr">
        <is>
          <t>RICE 7 radiators (5)</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10</v>
      </c>
      <c r="O4807" s="12" t="n">
        <v>1</v>
      </c>
      <c r="P4807" s="12" t="n"/>
      <c r="Q4807" s="12" t="n"/>
      <c r="R4807" s="12" t="n"/>
      <c r="S4807" s="12" t="inlineStr">
        <is>
          <t>Tray / conduit</t>
        </is>
      </c>
      <c r="T4807" s="15" t="n">
        <v>80</v>
      </c>
      <c r="U4807" s="15" t="n">
        <v>10</v>
      </c>
      <c r="V4807" s="15">
        <f>ROUNDUP((T4807+U4807+2*'Read Me'!$B$13)*(1+'Read Me'!$B$12),-1)</f>
        <v/>
      </c>
      <c r="W4807" s="15">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I-I-0194</t>
        </is>
      </c>
      <c r="B4808" s="12" t="inlineStr">
        <is>
          <t>I</t>
        </is>
      </c>
      <c r="C4808" s="12" t="inlineStr">
        <is>
          <t>Modular / portable power</t>
        </is>
      </c>
      <c r="D4808" s="12" t="inlineStr">
        <is>
          <t>Home run JB-RICE 7 radiators (-DI01 to the control / marshalling room</t>
        </is>
      </c>
      <c r="E4808" s="12" t="inlineStr"/>
      <c r="F4808" s="12" t="inlineStr">
        <is>
          <t>PCM: power control module</t>
        </is>
      </c>
      <c r="G4808" s="12" t="inlineStr">
        <is>
          <t>JB-RICE 7 radiators (-DI01</t>
        </is>
      </c>
      <c r="H4808" s="12" t="inlineStr">
        <is>
          <t>RICE 7 radiators (5)</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5" t="n">
        <v>0</v>
      </c>
      <c r="U4808" s="15" t="n">
        <v>122</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I-I-0195</t>
        </is>
      </c>
      <c r="B4809" s="12" t="inlineStr">
        <is>
          <t>I</t>
        </is>
      </c>
      <c r="C4809" s="12" t="inlineStr">
        <is>
          <t>Modular / portable power</t>
        </is>
      </c>
      <c r="D4809" s="12" t="inlineStr">
        <is>
          <t>Analog instrument to JB JB-RICE 8 SCR + oxida-AI01: 10 x 1 pr (field cables)</t>
        </is>
      </c>
      <c r="E4809" s="12" t="inlineStr"/>
      <c r="F4809" s="12" t="inlineStr">
        <is>
          <t>RICE 8 SCR + oxidation catalyst and stack</t>
        </is>
      </c>
      <c r="G4809" s="12" t="inlineStr">
        <is>
          <t>JB-RICE 8 SCR + oxida-AI01</t>
        </is>
      </c>
      <c r="H4809" s="12" t="inlineStr">
        <is>
          <t>RICE 8 SCR + oxidation catalyst and stack</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10</v>
      </c>
      <c r="O4809" s="12" t="n">
        <v>1</v>
      </c>
      <c r="P4809" s="12" t="n"/>
      <c r="Q4809" s="12" t="n"/>
      <c r="R4809" s="12" t="n"/>
      <c r="S4809" s="12" t="inlineStr">
        <is>
          <t>Tray / conduit</t>
        </is>
      </c>
      <c r="T4809" s="15" t="n">
        <v>92</v>
      </c>
      <c r="U4809" s="15" t="n">
        <v>10</v>
      </c>
      <c r="V4809" s="15">
        <f>ROUNDUP((T4809+U4809+2*'Read Me'!$B$13)*(1+'Read Me'!$B$12),-1)</f>
        <v/>
      </c>
      <c r="W4809" s="15">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I-I-0196</t>
        </is>
      </c>
      <c r="B4810" s="12" t="inlineStr">
        <is>
          <t>I</t>
        </is>
      </c>
      <c r="C4810" s="12" t="inlineStr">
        <is>
          <t>Modular / portable power</t>
        </is>
      </c>
      <c r="D4810" s="12" t="inlineStr">
        <is>
          <t>Home run JB-RICE 8 SCR + oxida-AI01 to the control / marshalling room</t>
        </is>
      </c>
      <c r="E4810" s="12" t="inlineStr"/>
      <c r="F4810" s="12" t="inlineStr">
        <is>
          <t>PCM: power control module</t>
        </is>
      </c>
      <c r="G4810" s="12" t="inlineStr">
        <is>
          <t>JB-RICE 8 SCR + oxida-AI01</t>
        </is>
      </c>
      <c r="H4810" s="12" t="inlineStr">
        <is>
          <t>RICE 8 SCR + oxidation catalyst and stack</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5" t="n">
        <v>113</v>
      </c>
      <c r="U4810" s="15" t="n">
        <v>97</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I-I-0197</t>
        </is>
      </c>
      <c r="B4811" s="12" t="inlineStr">
        <is>
          <t>I</t>
        </is>
      </c>
      <c r="C4811" s="12" t="inlineStr">
        <is>
          <t>Modular / portable power</t>
        </is>
      </c>
      <c r="D4811" s="12" t="inlineStr">
        <is>
          <t>Discrete device to JB JB-RICE 8 SCR + oxida-DI01: 6 x 1 pr (field cables)</t>
        </is>
      </c>
      <c r="E4811" s="12" t="inlineStr"/>
      <c r="F4811" s="12" t="inlineStr">
        <is>
          <t>RICE 8 SCR + oxidation catalyst and stack</t>
        </is>
      </c>
      <c r="G4811" s="12" t="inlineStr">
        <is>
          <t>JB-RICE 8 SCR + oxida-DI01</t>
        </is>
      </c>
      <c r="H4811" s="12" t="inlineStr">
        <is>
          <t>RICE 8 SCR + oxidation catalyst and stack</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6</v>
      </c>
      <c r="O4811" s="12" t="n">
        <v>1</v>
      </c>
      <c r="P4811" s="12" t="n"/>
      <c r="Q4811" s="12" t="n"/>
      <c r="R4811" s="12" t="n"/>
      <c r="S4811" s="12" t="inlineStr">
        <is>
          <t>Tray / conduit</t>
        </is>
      </c>
      <c r="T4811" s="15" t="n">
        <v>92</v>
      </c>
      <c r="U4811" s="15" t="n">
        <v>10</v>
      </c>
      <c r="V4811" s="15">
        <f>ROUNDUP((T4811+U4811+2*'Read Me'!$B$13)*(1+'Read Me'!$B$12),-1)</f>
        <v/>
      </c>
      <c r="W4811" s="15">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I-I-0198</t>
        </is>
      </c>
      <c r="B4812" s="12" t="inlineStr">
        <is>
          <t>I</t>
        </is>
      </c>
      <c r="C4812" s="12" t="inlineStr">
        <is>
          <t>Modular / portable power</t>
        </is>
      </c>
      <c r="D4812" s="12" t="inlineStr">
        <is>
          <t>Home run JB-RICE 8 SCR + oxida-DI01 to the control / marshalling room</t>
        </is>
      </c>
      <c r="E4812" s="12" t="inlineStr"/>
      <c r="F4812" s="12" t="inlineStr">
        <is>
          <t>PCM: power control module</t>
        </is>
      </c>
      <c r="G4812" s="12" t="inlineStr">
        <is>
          <t>JB-RICE 8 SCR + oxida-DI01</t>
        </is>
      </c>
      <c r="H4812" s="12" t="inlineStr">
        <is>
          <t>RICE 8 SCR + oxidation catalyst and stack</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5" t="n">
        <v>113</v>
      </c>
      <c r="U4812" s="15" t="n">
        <v>97</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I-I-0199</t>
        </is>
      </c>
      <c r="B4813" s="12" t="inlineStr">
        <is>
          <t>I</t>
        </is>
      </c>
      <c r="C4813" s="12" t="inlineStr">
        <is>
          <t>Modular / portable power</t>
        </is>
      </c>
      <c r="D4813" s="12" t="inlineStr">
        <is>
          <t>Analog instrument to JB JB-RICE 8 radiators (-AI01: 5 x 1 pr (field cables)</t>
        </is>
      </c>
      <c r="E4813" s="12" t="inlineStr"/>
      <c r="F4813" s="12" t="inlineStr">
        <is>
          <t>RICE 8 radiators (5)</t>
        </is>
      </c>
      <c r="G4813" s="12" t="inlineStr">
        <is>
          <t>JB-RICE 8 radiators (-AI01</t>
        </is>
      </c>
      <c r="H4813" s="12" t="inlineStr">
        <is>
          <t>RICE 8 radiators (5)</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5</v>
      </c>
      <c r="O4813" s="12" t="n">
        <v>1</v>
      </c>
      <c r="P4813" s="12" t="n"/>
      <c r="Q4813" s="12" t="n"/>
      <c r="R4813" s="12" t="n"/>
      <c r="S4813" s="12" t="inlineStr">
        <is>
          <t>Tray / conduit</t>
        </is>
      </c>
      <c r="T4813" s="15" t="n">
        <v>80</v>
      </c>
      <c r="U4813" s="15" t="n">
        <v>10</v>
      </c>
      <c r="V4813" s="15">
        <f>ROUNDUP((T4813+U4813+2*'Read Me'!$B$13)*(1+'Read Me'!$B$12),-1)</f>
        <v/>
      </c>
      <c r="W4813" s="15">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I-I-0200</t>
        </is>
      </c>
      <c r="B4814" s="12" t="inlineStr">
        <is>
          <t>I</t>
        </is>
      </c>
      <c r="C4814" s="12" t="inlineStr">
        <is>
          <t>Modular / portable power</t>
        </is>
      </c>
      <c r="D4814" s="12" t="inlineStr">
        <is>
          <t>Home run JB-RICE 8 radiators (-AI01 to the control / marshalling room</t>
        </is>
      </c>
      <c r="E4814" s="12" t="inlineStr"/>
      <c r="F4814" s="12" t="inlineStr">
        <is>
          <t>PCM: power control module</t>
        </is>
      </c>
      <c r="G4814" s="12" t="inlineStr">
        <is>
          <t>JB-RICE 8 radiators (-AI01</t>
        </is>
      </c>
      <c r="H4814" s="12" t="inlineStr">
        <is>
          <t>RICE 8 radiators (5)</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5" t="n">
        <v>0</v>
      </c>
      <c r="U4814" s="15" t="n">
        <v>94</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I-I-0201</t>
        </is>
      </c>
      <c r="B4815" s="12" t="inlineStr">
        <is>
          <t>I</t>
        </is>
      </c>
      <c r="C4815" s="12" t="inlineStr">
        <is>
          <t>Modular / portable power</t>
        </is>
      </c>
      <c r="D4815" s="12" t="inlineStr">
        <is>
          <t>Discrete device to JB JB-RICE 8 radiators (-DI01: 10 x 1 pr (field cables)</t>
        </is>
      </c>
      <c r="E4815" s="12" t="inlineStr"/>
      <c r="F4815" s="12" t="inlineStr">
        <is>
          <t>RICE 8 radiators (5)</t>
        </is>
      </c>
      <c r="G4815" s="12" t="inlineStr">
        <is>
          <t>JB-RICE 8 radiators (-DI01</t>
        </is>
      </c>
      <c r="H4815" s="12" t="inlineStr">
        <is>
          <t>RICE 8 radiators (5)</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10</v>
      </c>
      <c r="O4815" s="12" t="n">
        <v>1</v>
      </c>
      <c r="P4815" s="12" t="n"/>
      <c r="Q4815" s="12" t="n"/>
      <c r="R4815" s="12" t="n"/>
      <c r="S4815" s="12" t="inlineStr">
        <is>
          <t>Tray / conduit</t>
        </is>
      </c>
      <c r="T4815" s="15" t="n">
        <v>80</v>
      </c>
      <c r="U4815" s="15" t="n">
        <v>10</v>
      </c>
      <c r="V4815" s="15">
        <f>ROUNDUP((T4815+U4815+2*'Read Me'!$B$13)*(1+'Read Me'!$B$12),-1)</f>
        <v/>
      </c>
      <c r="W4815" s="15">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I-I-0202</t>
        </is>
      </c>
      <c r="B4816" s="12" t="inlineStr">
        <is>
          <t>I</t>
        </is>
      </c>
      <c r="C4816" s="12" t="inlineStr">
        <is>
          <t>Modular / portable power</t>
        </is>
      </c>
      <c r="D4816" s="12" t="inlineStr">
        <is>
          <t>Home run JB-RICE 8 radiators (-DI01 to the control / marshalling room</t>
        </is>
      </c>
      <c r="E4816" s="12" t="inlineStr"/>
      <c r="F4816" s="12" t="inlineStr">
        <is>
          <t>PCM: power control module</t>
        </is>
      </c>
      <c r="G4816" s="12" t="inlineStr">
        <is>
          <t>JB-RICE 8 radiators (-DI01</t>
        </is>
      </c>
      <c r="H4816" s="12" t="inlineStr">
        <is>
          <t>RICE 8 radiators (5)</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5" t="n">
        <v>0</v>
      </c>
      <c r="U4816" s="15" t="n">
        <v>94</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I-I-0203</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PLTC|4 pr|18</t>
        </is>
      </c>
      <c r="L4817" s="12" t="inlineStr">
        <is>
          <t>4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I-I-0204</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PLTC|4 pr|18</t>
        </is>
      </c>
      <c r="L4818" s="12" t="inlineStr">
        <is>
          <t>4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I-I-0205</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I-I-0206</t>
        </is>
      </c>
      <c r="B4820" s="12" t="inlineStr">
        <is>
          <t>I</t>
        </is>
      </c>
      <c r="C4820" s="12" t="inlineStr">
        <is>
          <t>Modular / portable power</t>
        </is>
      </c>
      <c r="D4820" s="12" t="inlineStr">
        <is>
          <t>Instrumentation</t>
        </is>
      </c>
      <c r="E4820" s="12" t="inlineStr"/>
      <c r="F4820" s="12" t="inlineStr">
        <is>
          <t>PCM: power control module</t>
        </is>
      </c>
      <c r="G4820" s="12" t="inlineStr">
        <is>
          <t>RICE</t>
        </is>
      </c>
      <c r="H4820" s="12" t="inlineStr">
        <is>
          <t>RICE engine hall (8 engines)</t>
        </is>
      </c>
      <c r="I4820" s="12" t="inlineStr">
        <is>
          <t>Instrumentation</t>
        </is>
      </c>
      <c r="J4820" s="12" t="inlineStr">
        <is>
          <t>Instrumentation PLTC / TC-ER 300 V, #18 twisted shielded pairs, overall shield</t>
        </is>
      </c>
      <c r="K4820" s="12" t="inlineStr">
        <is>
          <t>PLTC|12 pr|18</t>
        </is>
      </c>
      <c r="L4820" s="12" t="inlineStr">
        <is>
          <t>12 pr</t>
        </is>
      </c>
      <c r="M4820" s="12" t="inlineStr">
        <is>
          <t>18</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I-I-0207</t>
        </is>
      </c>
      <c r="B4821" s="12" t="inlineStr">
        <is>
          <t>I</t>
        </is>
      </c>
      <c r="C4821" s="12" t="inlineStr">
        <is>
          <t>Modular / portable power</t>
        </is>
      </c>
      <c r="D4821" s="12" t="inlineStr">
        <is>
          <t>Instrumentation</t>
        </is>
      </c>
      <c r="E4821" s="12" t="inlineStr"/>
      <c r="F4821" s="12" t="inlineStr">
        <is>
          <t>PCM: power control module</t>
        </is>
      </c>
      <c r="G4821" s="12" t="inlineStr">
        <is>
          <t>RICE</t>
        </is>
      </c>
      <c r="H4821" s="12" t="inlineStr">
        <is>
          <t>RICE engine hall (8 engines)</t>
        </is>
      </c>
      <c r="I4821" s="12" t="inlineStr">
        <is>
          <t>Instrumentation</t>
        </is>
      </c>
      <c r="J4821" s="12" t="inlineStr">
        <is>
          <t>Instrumentation PLTC / TC-ER 300 V, #18 twisted shielded pairs, overall shield</t>
        </is>
      </c>
      <c r="K4821" s="12" t="inlineStr">
        <is>
          <t>PLTC|12 pr|18</t>
        </is>
      </c>
      <c r="L4821" s="12" t="inlineStr">
        <is>
          <t>12 pr</t>
        </is>
      </c>
      <c r="M4821" s="12" t="inlineStr">
        <is>
          <t>18</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I-I-0208</t>
        </is>
      </c>
      <c r="B4822" s="12" t="inlineStr">
        <is>
          <t>I</t>
        </is>
      </c>
      <c r="C4822" s="12" t="inlineStr">
        <is>
          <t>Modular / portable power</t>
        </is>
      </c>
      <c r="D4822" s="12" t="inlineStr">
        <is>
          <t>Instrumentation</t>
        </is>
      </c>
      <c r="E4822" s="12" t="inlineStr"/>
      <c r="F4822" s="12" t="inlineStr">
        <is>
          <t>PCM: power control module</t>
        </is>
      </c>
      <c r="G4822" s="12" t="inlineStr">
        <is>
          <t>RICE</t>
        </is>
      </c>
      <c r="H4822" s="12" t="inlineStr">
        <is>
          <t>RICE engine hall (8 engines)</t>
        </is>
      </c>
      <c r="I4822" s="12" t="inlineStr">
        <is>
          <t>Instrumentation</t>
        </is>
      </c>
      <c r="J4822" s="12" t="inlineStr">
        <is>
          <t>Instrumentation PLTC / TC-ER 300 V, #18 twisted shielded pairs, overall shield</t>
        </is>
      </c>
      <c r="K4822" s="12" t="inlineStr">
        <is>
          <t>PLTC|12 pr|18</t>
        </is>
      </c>
      <c r="L4822" s="12" t="inlineStr">
        <is>
          <t>12 pr</t>
        </is>
      </c>
      <c r="M4822" s="12" t="inlineStr">
        <is>
          <t>18</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I-I-0209</t>
        </is>
      </c>
      <c r="B4823" s="12" t="inlineStr">
        <is>
          <t>I</t>
        </is>
      </c>
      <c r="C4823" s="12" t="inlineStr">
        <is>
          <t>Modular / portable power</t>
        </is>
      </c>
      <c r="D4823" s="12" t="inlineStr">
        <is>
          <t>Instrumentation</t>
        </is>
      </c>
      <c r="E4823" s="12" t="inlineStr"/>
      <c r="F4823" s="12" t="inlineStr">
        <is>
          <t>PCM: power control module</t>
        </is>
      </c>
      <c r="G4823" s="12" t="inlineStr">
        <is>
          <t>RICE</t>
        </is>
      </c>
      <c r="H4823" s="12" t="inlineStr">
        <is>
          <t>RICE engine hall (8 engines)</t>
        </is>
      </c>
      <c r="I4823" s="12" t="inlineStr">
        <is>
          <t>Instrumentation</t>
        </is>
      </c>
      <c r="J4823" s="12" t="inlineStr">
        <is>
          <t>Instrumentation PLTC / TC-ER 300 V, #18 twisted shielded pairs, overall shield</t>
        </is>
      </c>
      <c r="K4823" s="12" t="inlineStr">
        <is>
          <t>PLTC|12 pr|18</t>
        </is>
      </c>
      <c r="L4823" s="12" t="inlineStr">
        <is>
          <t>12 pr</t>
        </is>
      </c>
      <c r="M4823" s="12" t="inlineStr">
        <is>
          <t>18</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I-I-0210</t>
        </is>
      </c>
      <c r="B4824" s="12" t="inlineStr">
        <is>
          <t>I</t>
        </is>
      </c>
      <c r="C4824" s="12" t="inlineStr">
        <is>
          <t>Modular / portable power</t>
        </is>
      </c>
      <c r="D4824" s="12" t="inlineStr">
        <is>
          <t>Instrumentation</t>
        </is>
      </c>
      <c r="E4824" s="12" t="inlineStr"/>
      <c r="F4824" s="12" t="inlineStr">
        <is>
          <t>PCM: power control module</t>
        </is>
      </c>
      <c r="G4824" s="12" t="inlineStr">
        <is>
          <t>RICE</t>
        </is>
      </c>
      <c r="H4824" s="12" t="inlineStr">
        <is>
          <t>RICE engine hall (8 engines)</t>
        </is>
      </c>
      <c r="I4824" s="12" t="inlineStr">
        <is>
          <t>Instrumentation</t>
        </is>
      </c>
      <c r="J4824" s="12" t="inlineStr">
        <is>
          <t>Instrumentation PLTC / TC-ER 300 V, #18 twisted shielded pairs, overall shield</t>
        </is>
      </c>
      <c r="K4824" s="12" t="inlineStr">
        <is>
          <t>PLTC|12 pr|18</t>
        </is>
      </c>
      <c r="L4824" s="12" t="inlineStr">
        <is>
          <t>12 pr</t>
        </is>
      </c>
      <c r="M4824" s="12" t="inlineStr">
        <is>
          <t>18</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I-I-0211</t>
        </is>
      </c>
      <c r="B4825" s="12" t="inlineStr">
        <is>
          <t>I</t>
        </is>
      </c>
      <c r="C4825" s="12" t="inlineStr">
        <is>
          <t>Modular / portable power</t>
        </is>
      </c>
      <c r="D4825" s="12" t="inlineStr">
        <is>
          <t>Instrumentation</t>
        </is>
      </c>
      <c r="E4825" s="12" t="inlineStr"/>
      <c r="F4825" s="12" t="inlineStr">
        <is>
          <t>PCM: power control module</t>
        </is>
      </c>
      <c r="G4825" s="12" t="inlineStr">
        <is>
          <t>RICE</t>
        </is>
      </c>
      <c r="H4825" s="12" t="inlineStr">
        <is>
          <t>RICE engine hall (8 engines)</t>
        </is>
      </c>
      <c r="I4825" s="12" t="inlineStr">
        <is>
          <t>Instrumentation</t>
        </is>
      </c>
      <c r="J4825" s="12" t="inlineStr">
        <is>
          <t>Instrumentation PLTC / TC-ER 300 V, #18 twisted shielded pairs, overall shield</t>
        </is>
      </c>
      <c r="K4825" s="12" t="inlineStr">
        <is>
          <t>PLTC|12 pr|18</t>
        </is>
      </c>
      <c r="L4825" s="12" t="inlineStr">
        <is>
          <t>12 pr</t>
        </is>
      </c>
      <c r="M4825" s="12" t="inlineStr">
        <is>
          <t>18</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I-I-0212</t>
        </is>
      </c>
      <c r="B4826" s="12" t="inlineStr">
        <is>
          <t>I</t>
        </is>
      </c>
      <c r="C4826" s="12" t="inlineStr">
        <is>
          <t>Modular / portable power</t>
        </is>
      </c>
      <c r="D4826" s="12" t="inlineStr">
        <is>
          <t>Instrumentation</t>
        </is>
      </c>
      <c r="E4826" s="12" t="inlineStr"/>
      <c r="F4826" s="12" t="inlineStr">
        <is>
          <t>PCM: power control module</t>
        </is>
      </c>
      <c r="G4826" s="12" t="inlineStr">
        <is>
          <t>RICE</t>
        </is>
      </c>
      <c r="H4826" s="12" t="inlineStr">
        <is>
          <t>RICE engine hall (8 engines)</t>
        </is>
      </c>
      <c r="I4826" s="12" t="inlineStr">
        <is>
          <t>Instrumentation</t>
        </is>
      </c>
      <c r="J4826" s="12" t="inlineStr">
        <is>
          <t>Instrumentation PLTC / TC-ER 300 V, #18 twisted shielded pairs, overall shield</t>
        </is>
      </c>
      <c r="K4826" s="12" t="inlineStr">
        <is>
          <t>PLTC|12 pr|18</t>
        </is>
      </c>
      <c r="L4826" s="12" t="inlineStr">
        <is>
          <t>12 pr</t>
        </is>
      </c>
      <c r="M4826" s="12" t="inlineStr">
        <is>
          <t>18</t>
        </is>
      </c>
      <c r="N4826" s="12" t="n">
        <v>1</v>
      </c>
      <c r="O4826" s="12" t="n">
        <v>1</v>
      </c>
      <c r="P4826" s="12" t="n"/>
      <c r="Q4826" s="12" t="n"/>
      <c r="R4826" s="12" t="n"/>
      <c r="S4826" s="12" t="inlineStr">
        <is>
          <t>Duct bank</t>
        </is>
      </c>
      <c r="T4826" s="15" t="n">
        <v>57</v>
      </c>
      <c r="U4826" s="15" t="n">
        <v>83</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I-I-0213</t>
        </is>
      </c>
      <c r="B4827" s="12" t="inlineStr">
        <is>
          <t>I</t>
        </is>
      </c>
      <c r="C4827" s="12" t="inlineStr">
        <is>
          <t>Modular / portable power</t>
        </is>
      </c>
      <c r="D4827" s="12" t="inlineStr">
        <is>
          <t>Thermocouples</t>
        </is>
      </c>
      <c r="E4827" s="12" t="inlineStr"/>
      <c r="F4827" s="12" t="inlineStr">
        <is>
          <t>PCM: power control module</t>
        </is>
      </c>
      <c r="G4827" s="12" t="inlineStr">
        <is>
          <t>RICE</t>
        </is>
      </c>
      <c r="H4827" s="12" t="inlineStr">
        <is>
          <t>RICE engine hall (8 engines)</t>
        </is>
      </c>
      <c r="I4827" s="12" t="inlineStr">
        <is>
          <t>Instrumentation</t>
        </is>
      </c>
      <c r="J4827" s="12" t="inlineStr">
        <is>
          <t>Thermocouple extension KX, #16 shielded pairs, PLTC</t>
        </is>
      </c>
      <c r="K4827" s="12" t="inlineStr">
        <is>
          <t>TCX|12 pr|16</t>
        </is>
      </c>
      <c r="L4827" s="12" t="inlineStr">
        <is>
          <t>12 pr</t>
        </is>
      </c>
      <c r="M4827" s="12" t="inlineStr">
        <is>
          <t>16</t>
        </is>
      </c>
      <c r="N4827" s="12" t="n">
        <v>1</v>
      </c>
      <c r="O4827" s="12" t="n">
        <v>1</v>
      </c>
      <c r="P4827" s="12" t="n"/>
      <c r="Q4827" s="12" t="n"/>
      <c r="R4827" s="12" t="n"/>
      <c r="S4827" s="12" t="inlineStr">
        <is>
          <t>Duct bank</t>
        </is>
      </c>
      <c r="T4827" s="15" t="n">
        <v>57</v>
      </c>
      <c r="U4827" s="15" t="n">
        <v>83</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I-I-0214</t>
        </is>
      </c>
      <c r="B4828" s="12" t="inlineStr">
        <is>
          <t>I</t>
        </is>
      </c>
      <c r="C4828" s="12" t="inlineStr">
        <is>
          <t>Modular / portable power</t>
        </is>
      </c>
      <c r="D4828" s="12" t="inlineStr">
        <is>
          <t>Thermocouples</t>
        </is>
      </c>
      <c r="E4828" s="12" t="inlineStr"/>
      <c r="F4828" s="12" t="inlineStr">
        <is>
          <t>PCM: power control module</t>
        </is>
      </c>
      <c r="G4828" s="12" t="inlineStr">
        <is>
          <t>RICE</t>
        </is>
      </c>
      <c r="H4828" s="12" t="inlineStr">
        <is>
          <t>RICE engine hall (8 engines)</t>
        </is>
      </c>
      <c r="I4828" s="12" t="inlineStr">
        <is>
          <t>Instrumentation</t>
        </is>
      </c>
      <c r="J4828" s="12" t="inlineStr">
        <is>
          <t>Thermocouple extension KX, #16 shielded pairs, PLTC</t>
        </is>
      </c>
      <c r="K4828" s="12" t="inlineStr">
        <is>
          <t>TCX|12 pr|16</t>
        </is>
      </c>
      <c r="L4828" s="12" t="inlineStr">
        <is>
          <t>12 pr</t>
        </is>
      </c>
      <c r="M4828" s="12" t="inlineStr">
        <is>
          <t>16</t>
        </is>
      </c>
      <c r="N4828" s="12" t="n">
        <v>1</v>
      </c>
      <c r="O4828" s="12" t="n">
        <v>1</v>
      </c>
      <c r="P4828" s="12" t="n"/>
      <c r="Q4828" s="12" t="n"/>
      <c r="R4828" s="12" t="n"/>
      <c r="S4828" s="12" t="inlineStr">
        <is>
          <t>Duct bank</t>
        </is>
      </c>
      <c r="T4828" s="15" t="n">
        <v>57</v>
      </c>
      <c r="U4828" s="15" t="n">
        <v>83</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I-I-0215</t>
        </is>
      </c>
      <c r="B4829" s="12" t="inlineStr">
        <is>
          <t>I</t>
        </is>
      </c>
      <c r="C4829" s="12" t="inlineStr">
        <is>
          <t>Modular / portable power</t>
        </is>
      </c>
      <c r="D4829" s="12" t="inlineStr">
        <is>
          <t>Thermocouples</t>
        </is>
      </c>
      <c r="E4829" s="12" t="inlineStr"/>
      <c r="F4829" s="12" t="inlineStr">
        <is>
          <t>PCM: power control module</t>
        </is>
      </c>
      <c r="G4829" s="12" t="inlineStr">
        <is>
          <t>RICE</t>
        </is>
      </c>
      <c r="H4829" s="12" t="inlineStr">
        <is>
          <t>RICE engine hall (8 engines)</t>
        </is>
      </c>
      <c r="I4829" s="12" t="inlineStr">
        <is>
          <t>Instrumentation</t>
        </is>
      </c>
      <c r="J4829" s="12" t="inlineStr">
        <is>
          <t>Thermocouple extension KX, #16 shielded pairs, PLTC</t>
        </is>
      </c>
      <c r="K4829" s="12" t="inlineStr">
        <is>
          <t>TCX|12 pr|16</t>
        </is>
      </c>
      <c r="L4829" s="12" t="inlineStr">
        <is>
          <t>12 pr</t>
        </is>
      </c>
      <c r="M4829" s="12" t="inlineStr">
        <is>
          <t>16</t>
        </is>
      </c>
      <c r="N4829" s="12" t="n">
        <v>1</v>
      </c>
      <c r="O4829" s="12" t="n">
        <v>1</v>
      </c>
      <c r="P4829" s="12" t="n"/>
      <c r="Q4829" s="12" t="n"/>
      <c r="R4829" s="12" t="n"/>
      <c r="S4829" s="12" t="inlineStr">
        <is>
          <t>Duct bank</t>
        </is>
      </c>
      <c r="T4829" s="15" t="n">
        <v>57</v>
      </c>
      <c r="U4829" s="15" t="n">
        <v>83</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I-I-0216</t>
        </is>
      </c>
      <c r="B4830" s="12" t="inlineStr">
        <is>
          <t>I</t>
        </is>
      </c>
      <c r="C4830" s="12" t="inlineStr">
        <is>
          <t>Modular / portable power</t>
        </is>
      </c>
      <c r="D4830" s="12" t="inlineStr">
        <is>
          <t>Thermocouples</t>
        </is>
      </c>
      <c r="E4830" s="12" t="inlineStr"/>
      <c r="F4830" s="12" t="inlineStr">
        <is>
          <t>PCM: power control module</t>
        </is>
      </c>
      <c r="G4830" s="12" t="inlineStr">
        <is>
          <t>RICE</t>
        </is>
      </c>
      <c r="H4830" s="12" t="inlineStr">
        <is>
          <t>RICE engine hall (8 engines)</t>
        </is>
      </c>
      <c r="I4830" s="12" t="inlineStr">
        <is>
          <t>Instrumentation</t>
        </is>
      </c>
      <c r="J4830" s="12" t="inlineStr">
        <is>
          <t>Thermocouple extension KX, #16 shielded pairs, PLTC</t>
        </is>
      </c>
      <c r="K4830" s="12" t="inlineStr">
        <is>
          <t>TCX|12 pr|16</t>
        </is>
      </c>
      <c r="L4830" s="12" t="inlineStr">
        <is>
          <t>12 pr</t>
        </is>
      </c>
      <c r="M4830" s="12" t="inlineStr">
        <is>
          <t>16</t>
        </is>
      </c>
      <c r="N4830" s="12" t="n">
        <v>1</v>
      </c>
      <c r="O4830" s="12" t="n">
        <v>1</v>
      </c>
      <c r="P4830" s="12" t="n"/>
      <c r="Q4830" s="12" t="n"/>
      <c r="R4830" s="12" t="n"/>
      <c r="S4830" s="12" t="inlineStr">
        <is>
          <t>Duct bank</t>
        </is>
      </c>
      <c r="T4830" s="15" t="n">
        <v>57</v>
      </c>
      <c r="U4830" s="15" t="n">
        <v>83</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I-I-0217</t>
        </is>
      </c>
      <c r="B4831" s="12" t="inlineStr">
        <is>
          <t>I</t>
        </is>
      </c>
      <c r="C4831" s="12" t="inlineStr">
        <is>
          <t>Modular / portable power</t>
        </is>
      </c>
      <c r="D4831" s="12" t="inlineStr">
        <is>
          <t>Thermocouples</t>
        </is>
      </c>
      <c r="E4831" s="12" t="inlineStr"/>
      <c r="F4831" s="12" t="inlineStr">
        <is>
          <t>PCM: power control module</t>
        </is>
      </c>
      <c r="G4831" s="12" t="inlineStr">
        <is>
          <t>RICE</t>
        </is>
      </c>
      <c r="H4831" s="12" t="inlineStr">
        <is>
          <t>RICE engine hall (8 engines)</t>
        </is>
      </c>
      <c r="I4831" s="12" t="inlineStr">
        <is>
          <t>Instrumentation</t>
        </is>
      </c>
      <c r="J4831" s="12" t="inlineStr">
        <is>
          <t>Thermocouple extension KX, #16 shielded pairs, PLTC</t>
        </is>
      </c>
      <c r="K4831" s="12" t="inlineStr">
        <is>
          <t>TCX|12 pr|16</t>
        </is>
      </c>
      <c r="L4831" s="12" t="inlineStr">
        <is>
          <t>12 pr</t>
        </is>
      </c>
      <c r="M4831" s="12" t="inlineStr">
        <is>
          <t>16</t>
        </is>
      </c>
      <c r="N4831" s="12" t="n">
        <v>1</v>
      </c>
      <c r="O4831" s="12" t="n">
        <v>1</v>
      </c>
      <c r="P4831" s="12" t="n"/>
      <c r="Q4831" s="12" t="n"/>
      <c r="R4831" s="12" t="n"/>
      <c r="S4831" s="12" t="inlineStr">
        <is>
          <t>Duct bank</t>
        </is>
      </c>
      <c r="T4831" s="15" t="n">
        <v>57</v>
      </c>
      <c r="U4831" s="15" t="n">
        <v>83</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I-I-0218</t>
        </is>
      </c>
      <c r="B4832" s="12" t="inlineStr">
        <is>
          <t>I</t>
        </is>
      </c>
      <c r="C4832" s="12" t="inlineStr">
        <is>
          <t>Modular / portable power</t>
        </is>
      </c>
      <c r="D4832" s="12" t="inlineStr">
        <is>
          <t>Thermocouples</t>
        </is>
      </c>
      <c r="E4832" s="12" t="inlineStr"/>
      <c r="F4832" s="12" t="inlineStr">
        <is>
          <t>PCM: power control module</t>
        </is>
      </c>
      <c r="G4832" s="12" t="inlineStr">
        <is>
          <t>RICE</t>
        </is>
      </c>
      <c r="H4832" s="12" t="inlineStr">
        <is>
          <t>RICE engine hall (8 engines)</t>
        </is>
      </c>
      <c r="I4832" s="12" t="inlineStr">
        <is>
          <t>Instrumentation</t>
        </is>
      </c>
      <c r="J4832" s="12" t="inlineStr">
        <is>
          <t>Thermocouple extension KX, #16 shielded pairs, PLTC</t>
        </is>
      </c>
      <c r="K4832" s="12" t="inlineStr">
        <is>
          <t>TCX|12 pr|16</t>
        </is>
      </c>
      <c r="L4832" s="12" t="inlineStr">
        <is>
          <t>12 pr</t>
        </is>
      </c>
      <c r="M4832" s="12" t="inlineStr">
        <is>
          <t>16</t>
        </is>
      </c>
      <c r="N4832" s="12" t="n">
        <v>1</v>
      </c>
      <c r="O4832" s="12" t="n">
        <v>1</v>
      </c>
      <c r="P4832" s="12" t="n"/>
      <c r="Q4832" s="12" t="n"/>
      <c r="R4832" s="12" t="n"/>
      <c r="S4832" s="12" t="inlineStr">
        <is>
          <t>Duct bank</t>
        </is>
      </c>
      <c r="T4832" s="15" t="n">
        <v>57</v>
      </c>
      <c r="U4832" s="15" t="n">
        <v>83</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I-I-0219</t>
        </is>
      </c>
      <c r="B4833" s="12" t="inlineStr">
        <is>
          <t>I</t>
        </is>
      </c>
      <c r="C4833" s="12" t="inlineStr">
        <is>
          <t>Modular / portable power</t>
        </is>
      </c>
      <c r="D4833" s="12" t="inlineStr">
        <is>
          <t>Analog instrument to JB JB-RICE-1-AI01: 20 x 1 pr (field cables)</t>
        </is>
      </c>
      <c r="E4833" s="12" t="inlineStr">
        <is>
          <t>RICE-1</t>
        </is>
      </c>
      <c r="F4833" s="12" t="inlineStr">
        <is>
          <t>RICE engine-generator 1</t>
        </is>
      </c>
      <c r="G4833" s="12" t="inlineStr">
        <is>
          <t>JB-RICE-1-AI01</t>
        </is>
      </c>
      <c r="H4833" s="12" t="inlineStr">
        <is>
          <t>RICE engine-generator 1</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I-I-0220</t>
        </is>
      </c>
      <c r="B4834" s="12" t="inlineStr">
        <is>
          <t>I</t>
        </is>
      </c>
      <c r="C4834" s="12" t="inlineStr">
        <is>
          <t>Modular / portable power</t>
        </is>
      </c>
      <c r="D4834" s="12" t="inlineStr">
        <is>
          <t>Home run JB-RICE-1-AI01 to the control / marshalling room</t>
        </is>
      </c>
      <c r="E4834" s="12" t="inlineStr"/>
      <c r="F4834" s="12" t="inlineStr">
        <is>
          <t>PCM: power control module</t>
        </is>
      </c>
      <c r="G4834" s="12" t="inlineStr">
        <is>
          <t>JB-RICE-1-AI01</t>
        </is>
      </c>
      <c r="H4834" s="12" t="inlineStr">
        <is>
          <t>RICE engine-generator 1</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I-I-0221</t>
        </is>
      </c>
      <c r="B4835" s="12" t="inlineStr">
        <is>
          <t>I</t>
        </is>
      </c>
      <c r="C4835" s="12" t="inlineStr">
        <is>
          <t>Modular / portable power</t>
        </is>
      </c>
      <c r="D4835" s="12" t="inlineStr">
        <is>
          <t>Analog instrument to JB JB-RICE-1-AI02: 20 x 1 pr (field cables)</t>
        </is>
      </c>
      <c r="E4835" s="12" t="inlineStr">
        <is>
          <t>RICE-1</t>
        </is>
      </c>
      <c r="F4835" s="12" t="inlineStr">
        <is>
          <t>RICE engine-generator 1</t>
        </is>
      </c>
      <c r="G4835" s="12" t="inlineStr">
        <is>
          <t>JB-RICE-1-AI02</t>
        </is>
      </c>
      <c r="H4835" s="12" t="inlineStr">
        <is>
          <t>RICE engine-generator 1</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I-I-0222</t>
        </is>
      </c>
      <c r="B4836" s="12" t="inlineStr">
        <is>
          <t>I</t>
        </is>
      </c>
      <c r="C4836" s="12" t="inlineStr">
        <is>
          <t>Modular / portable power</t>
        </is>
      </c>
      <c r="D4836" s="12" t="inlineStr">
        <is>
          <t>Home run JB-RICE-1-AI02 to the control / marshalling room</t>
        </is>
      </c>
      <c r="E4836" s="12" t="inlineStr"/>
      <c r="F4836" s="12" t="inlineStr">
        <is>
          <t>PCM: power control module</t>
        </is>
      </c>
      <c r="G4836" s="12" t="inlineStr">
        <is>
          <t>JB-RICE-1-AI02</t>
        </is>
      </c>
      <c r="H4836" s="12" t="inlineStr">
        <is>
          <t>RICE engine-generator 1</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I-I-0223</t>
        </is>
      </c>
      <c r="B4837" s="12" t="inlineStr">
        <is>
          <t>I</t>
        </is>
      </c>
      <c r="C4837" s="12" t="inlineStr">
        <is>
          <t>Modular / portable power</t>
        </is>
      </c>
      <c r="D4837" s="12" t="inlineStr">
        <is>
          <t>Analog instrument to JB JB-RICE-1-AI03: 20 x 1 pr (field cables)</t>
        </is>
      </c>
      <c r="E4837" s="12" t="inlineStr">
        <is>
          <t>RICE-1</t>
        </is>
      </c>
      <c r="F4837" s="12" t="inlineStr">
        <is>
          <t>RICE engine-generator 1</t>
        </is>
      </c>
      <c r="G4837" s="12" t="inlineStr">
        <is>
          <t>JB-RICE-1-AI03</t>
        </is>
      </c>
      <c r="H4837" s="12" t="inlineStr">
        <is>
          <t>RICE engine-generator 1</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I-I-0224</t>
        </is>
      </c>
      <c r="B4838" s="12" t="inlineStr">
        <is>
          <t>I</t>
        </is>
      </c>
      <c r="C4838" s="12" t="inlineStr">
        <is>
          <t>Modular / portable power</t>
        </is>
      </c>
      <c r="D4838" s="12" t="inlineStr">
        <is>
          <t>Home run JB-RICE-1-AI03 to the control / marshalling room</t>
        </is>
      </c>
      <c r="E4838" s="12" t="inlineStr"/>
      <c r="F4838" s="12" t="inlineStr">
        <is>
          <t>PCM: power control module</t>
        </is>
      </c>
      <c r="G4838" s="12" t="inlineStr">
        <is>
          <t>JB-RICE-1-AI03</t>
        </is>
      </c>
      <c r="H4838" s="12" t="inlineStr">
        <is>
          <t>RICE engine-generator 1</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I-I-0225</t>
        </is>
      </c>
      <c r="B4839" s="12" t="inlineStr">
        <is>
          <t>I</t>
        </is>
      </c>
      <c r="C4839" s="12" t="inlineStr">
        <is>
          <t>Modular / portable power</t>
        </is>
      </c>
      <c r="D4839" s="12" t="inlineStr">
        <is>
          <t>Analog instrument to JB JB-RICE-1-AI04: 20 x 1 pr (field cables)</t>
        </is>
      </c>
      <c r="E4839" s="12" t="inlineStr">
        <is>
          <t>RICE-1</t>
        </is>
      </c>
      <c r="F4839" s="12" t="inlineStr">
        <is>
          <t>RICE engine-generator 1</t>
        </is>
      </c>
      <c r="G4839" s="12" t="inlineStr">
        <is>
          <t>JB-RICE-1-AI04</t>
        </is>
      </c>
      <c r="H4839" s="12" t="inlineStr">
        <is>
          <t>RICE engine-generator 1</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I-I-0226</t>
        </is>
      </c>
      <c r="B4840" s="12" t="inlineStr">
        <is>
          <t>I</t>
        </is>
      </c>
      <c r="C4840" s="12" t="inlineStr">
        <is>
          <t>Modular / portable power</t>
        </is>
      </c>
      <c r="D4840" s="12" t="inlineStr">
        <is>
          <t>Home run JB-RICE-1-AI04 to the control / marshalling room</t>
        </is>
      </c>
      <c r="E4840" s="12" t="inlineStr"/>
      <c r="F4840" s="12" t="inlineStr">
        <is>
          <t>PCM: power control module</t>
        </is>
      </c>
      <c r="G4840" s="12" t="inlineStr">
        <is>
          <t>JB-RICE-1-AI04</t>
        </is>
      </c>
      <c r="H4840" s="12" t="inlineStr">
        <is>
          <t>RICE engine-generator 1</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137</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I-I-0227</t>
        </is>
      </c>
      <c r="B4841" s="12" t="inlineStr">
        <is>
          <t>I</t>
        </is>
      </c>
      <c r="C4841" s="12" t="inlineStr">
        <is>
          <t>Modular / portable power</t>
        </is>
      </c>
      <c r="D4841" s="12" t="inlineStr">
        <is>
          <t>Discrete device to JB JB-RICE-1-DI01: 20 x 1 pr (field cables)</t>
        </is>
      </c>
      <c r="E4841" s="12" t="inlineStr">
        <is>
          <t>RICE-1</t>
        </is>
      </c>
      <c r="F4841" s="12" t="inlineStr">
        <is>
          <t>RICE engine-generator 1</t>
        </is>
      </c>
      <c r="G4841" s="12" t="inlineStr">
        <is>
          <t>JB-RICE-1-DI01</t>
        </is>
      </c>
      <c r="H4841" s="12" t="inlineStr">
        <is>
          <t>RICE engine-generator 1</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I-I-0228</t>
        </is>
      </c>
      <c r="B4842" s="12" t="inlineStr">
        <is>
          <t>I</t>
        </is>
      </c>
      <c r="C4842" s="12" t="inlineStr">
        <is>
          <t>Modular / portable power</t>
        </is>
      </c>
      <c r="D4842" s="12" t="inlineStr">
        <is>
          <t>Home run JB-RICE-1-DI01 to the control / marshalling room</t>
        </is>
      </c>
      <c r="E4842" s="12" t="inlineStr"/>
      <c r="F4842" s="12" t="inlineStr">
        <is>
          <t>PCM: power control module</t>
        </is>
      </c>
      <c r="G4842" s="12" t="inlineStr">
        <is>
          <t>JB-RICE-1-DI01</t>
        </is>
      </c>
      <c r="H4842" s="12" t="inlineStr">
        <is>
          <t>RICE engine-generator 1</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137</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I-I-0229</t>
        </is>
      </c>
      <c r="B4843" s="12" t="inlineStr">
        <is>
          <t>I</t>
        </is>
      </c>
      <c r="C4843" s="12" t="inlineStr">
        <is>
          <t>Modular / portable power</t>
        </is>
      </c>
      <c r="D4843" s="12" t="inlineStr">
        <is>
          <t>Discrete device to JB JB-RICE-1-DI02: 20 x 1 pr (field cables)</t>
        </is>
      </c>
      <c r="E4843" s="12" t="inlineStr">
        <is>
          <t>RICE-1</t>
        </is>
      </c>
      <c r="F4843" s="12" t="inlineStr">
        <is>
          <t>RICE engine-generator 1</t>
        </is>
      </c>
      <c r="G4843" s="12" t="inlineStr">
        <is>
          <t>JB-RICE-1-DI02</t>
        </is>
      </c>
      <c r="H4843" s="12" t="inlineStr">
        <is>
          <t>RICE engine-generator 1</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I-I-0230</t>
        </is>
      </c>
      <c r="B4844" s="12" t="inlineStr">
        <is>
          <t>I</t>
        </is>
      </c>
      <c r="C4844" s="12" t="inlineStr">
        <is>
          <t>Modular / portable power</t>
        </is>
      </c>
      <c r="D4844" s="12" t="inlineStr">
        <is>
          <t>Home run JB-RICE-1-DI02 to the control / marshalling room</t>
        </is>
      </c>
      <c r="E4844" s="12" t="inlineStr"/>
      <c r="F4844" s="12" t="inlineStr">
        <is>
          <t>PCM: power control module</t>
        </is>
      </c>
      <c r="G4844" s="12" t="inlineStr">
        <is>
          <t>JB-RICE-1-DI02</t>
        </is>
      </c>
      <c r="H4844" s="12" t="inlineStr">
        <is>
          <t>RICE engine-generator 1</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137</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I-I-0231</t>
        </is>
      </c>
      <c r="B4845" s="12" t="inlineStr">
        <is>
          <t>I</t>
        </is>
      </c>
      <c r="C4845" s="12" t="inlineStr">
        <is>
          <t>Modular / portable power</t>
        </is>
      </c>
      <c r="D4845" s="12" t="inlineStr">
        <is>
          <t>Discrete device to JB JB-RICE-1-DI03: 20 x 1 pr (field cables)</t>
        </is>
      </c>
      <c r="E4845" s="12" t="inlineStr">
        <is>
          <t>RICE-1</t>
        </is>
      </c>
      <c r="F4845" s="12" t="inlineStr">
        <is>
          <t>RICE engine-generator 1</t>
        </is>
      </c>
      <c r="G4845" s="12" t="inlineStr">
        <is>
          <t>JB-RICE-1-DI03</t>
        </is>
      </c>
      <c r="H4845" s="12" t="inlineStr">
        <is>
          <t>RICE engine-generator 1</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I-I-0232</t>
        </is>
      </c>
      <c r="B4846" s="12" t="inlineStr">
        <is>
          <t>I</t>
        </is>
      </c>
      <c r="C4846" s="12" t="inlineStr">
        <is>
          <t>Modular / portable power</t>
        </is>
      </c>
      <c r="D4846" s="12" t="inlineStr">
        <is>
          <t>Home run JB-RICE-1-DI03 to the control / marshalling room</t>
        </is>
      </c>
      <c r="E4846" s="12" t="inlineStr"/>
      <c r="F4846" s="12" t="inlineStr">
        <is>
          <t>PCM: power control module</t>
        </is>
      </c>
      <c r="G4846" s="12" t="inlineStr">
        <is>
          <t>JB-RICE-1-DI03</t>
        </is>
      </c>
      <c r="H4846" s="12" t="inlineStr">
        <is>
          <t>RICE engine-generator 1</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137</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I-I-0233</t>
        </is>
      </c>
      <c r="B4847" s="12" t="inlineStr">
        <is>
          <t>I</t>
        </is>
      </c>
      <c r="C4847" s="12" t="inlineStr">
        <is>
          <t>Modular / portable power</t>
        </is>
      </c>
      <c r="D4847" s="12" t="inlineStr">
        <is>
          <t>Thermocouple to TC JB JB-RICE-1-TC01: 20 x 1 pr (field cables)</t>
        </is>
      </c>
      <c r="E4847" s="12" t="inlineStr">
        <is>
          <t>RICE-1</t>
        </is>
      </c>
      <c r="F4847" s="12" t="inlineStr">
        <is>
          <t>RICE engine-generator 1</t>
        </is>
      </c>
      <c r="G4847" s="12" t="inlineStr">
        <is>
          <t>JB-RICE-1-TC01</t>
        </is>
      </c>
      <c r="H4847" s="12" t="inlineStr">
        <is>
          <t>RICE engine-generator 1</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I-I-0234</t>
        </is>
      </c>
      <c r="B4848" s="12" t="inlineStr">
        <is>
          <t>I</t>
        </is>
      </c>
      <c r="C4848" s="12" t="inlineStr">
        <is>
          <t>Modular / portable power</t>
        </is>
      </c>
      <c r="D4848" s="12" t="inlineStr">
        <is>
          <t>Home run JB-RICE-1-TC01 to the control / marshalling room</t>
        </is>
      </c>
      <c r="E4848" s="12" t="inlineStr"/>
      <c r="F4848" s="12" t="inlineStr">
        <is>
          <t>PCM: power control module</t>
        </is>
      </c>
      <c r="G4848" s="12" t="inlineStr">
        <is>
          <t>JB-RICE-1-TC01</t>
        </is>
      </c>
      <c r="H4848" s="12" t="inlineStr">
        <is>
          <t>RICE engine-generator 1</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5" t="n">
        <v>516</v>
      </c>
      <c r="U4848" s="15" t="n">
        <v>137</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I-I-0235</t>
        </is>
      </c>
      <c r="B4849" s="12" t="inlineStr">
        <is>
          <t>I</t>
        </is>
      </c>
      <c r="C4849" s="12" t="inlineStr">
        <is>
          <t>Modular / portable power</t>
        </is>
      </c>
      <c r="D4849" s="12" t="inlineStr">
        <is>
          <t>Thermocouple to TC JB JB-RICE-1-TC02: 10 x 1 pr (field cables)</t>
        </is>
      </c>
      <c r="E4849" s="12" t="inlineStr">
        <is>
          <t>RICE-1</t>
        </is>
      </c>
      <c r="F4849" s="12" t="inlineStr">
        <is>
          <t>RICE engine-generator 1</t>
        </is>
      </c>
      <c r="G4849" s="12" t="inlineStr">
        <is>
          <t>JB-RICE-1-TC02</t>
        </is>
      </c>
      <c r="H4849" s="12" t="inlineStr">
        <is>
          <t>RICE engine-generator 1</t>
        </is>
      </c>
      <c r="I4849" s="12" t="inlineStr">
        <is>
          <t>Instrumentation</t>
        </is>
      </c>
      <c r="J4849" s="12" t="inlineStr">
        <is>
          <t>Thermocouple extension KX, #16 shielded pairs, PLTC</t>
        </is>
      </c>
      <c r="K4849" s="12" t="inlineStr">
        <is>
          <t>TCX|1 pr|16</t>
        </is>
      </c>
      <c r="L4849" s="12" t="inlineStr">
        <is>
          <t>1 pr</t>
        </is>
      </c>
      <c r="M4849" s="12" t="inlineStr">
        <is>
          <t>16</t>
        </is>
      </c>
      <c r="N4849" s="12" t="n">
        <v>10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I-I-0236</t>
        </is>
      </c>
      <c r="B4850" s="12" t="inlineStr">
        <is>
          <t>I</t>
        </is>
      </c>
      <c r="C4850" s="12" t="inlineStr">
        <is>
          <t>Modular / portable power</t>
        </is>
      </c>
      <c r="D4850" s="12" t="inlineStr">
        <is>
          <t>Home run JB-RICE-1-TC02 to the control / marshalling room</t>
        </is>
      </c>
      <c r="E4850" s="12" t="inlineStr"/>
      <c r="F4850" s="12" t="inlineStr">
        <is>
          <t>PCM: power control module</t>
        </is>
      </c>
      <c r="G4850" s="12" t="inlineStr">
        <is>
          <t>JB-RICE-1-TC02</t>
        </is>
      </c>
      <c r="H4850" s="12" t="inlineStr">
        <is>
          <t>RICE engine-generator 1</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Duct bank</t>
        </is>
      </c>
      <c r="T4850" s="15" t="n">
        <v>516</v>
      </c>
      <c r="U4850" s="15" t="n">
        <v>137</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I-I-0237</t>
        </is>
      </c>
      <c r="B4851" s="12" t="inlineStr">
        <is>
          <t>I</t>
        </is>
      </c>
      <c r="C4851" s="12" t="inlineStr">
        <is>
          <t>Modular / portable power</t>
        </is>
      </c>
      <c r="D4851" s="12" t="inlineStr">
        <is>
          <t>RTD to JB JB-RICE-1-RTD01: 10 x 1 tri (field cables)</t>
        </is>
      </c>
      <c r="E4851" s="12" t="inlineStr">
        <is>
          <t>RICE-1</t>
        </is>
      </c>
      <c r="F4851" s="12" t="inlineStr">
        <is>
          <t>RICE engine-generator 1</t>
        </is>
      </c>
      <c r="G4851" s="12" t="inlineStr">
        <is>
          <t>JB-RICE-1-RTD01</t>
        </is>
      </c>
      <c r="H4851" s="12" t="inlineStr">
        <is>
          <t>RICE engine-generator 1</t>
        </is>
      </c>
      <c r="I4851" s="12" t="inlineStr">
        <is>
          <t>Instrumentation</t>
        </is>
      </c>
      <c r="J4851" s="12" t="inlineStr">
        <is>
          <t>RTD cable, #18 shielded triads, PLTC</t>
        </is>
      </c>
      <c r="K4851" s="12" t="inlineStr">
        <is>
          <t>RTD|1 tri|18</t>
        </is>
      </c>
      <c r="L4851" s="12" t="inlineStr">
        <is>
          <t>1 tri</t>
        </is>
      </c>
      <c r="M4851" s="12" t="inlineStr">
        <is>
          <t>18</t>
        </is>
      </c>
      <c r="N4851" s="12" t="n">
        <v>10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I-I-0238</t>
        </is>
      </c>
      <c r="B4852" s="12" t="inlineStr">
        <is>
          <t>I</t>
        </is>
      </c>
      <c r="C4852" s="12" t="inlineStr">
        <is>
          <t>Modular / portable power</t>
        </is>
      </c>
      <c r="D4852" s="12" t="inlineStr">
        <is>
          <t>Home run JB-RICE-1-RTD01 to the control / marshalling room</t>
        </is>
      </c>
      <c r="E4852" s="12" t="inlineStr"/>
      <c r="F4852" s="12" t="inlineStr">
        <is>
          <t>PCM: power control module</t>
        </is>
      </c>
      <c r="G4852" s="12" t="inlineStr">
        <is>
          <t>JB-RICE-1-RTD01</t>
        </is>
      </c>
      <c r="H4852" s="12" t="inlineStr">
        <is>
          <t>RICE engine-generator 1</t>
        </is>
      </c>
      <c r="I4852" s="12" t="inlineStr">
        <is>
          <t>Instrumentation</t>
        </is>
      </c>
      <c r="J4852" s="12" t="inlineStr">
        <is>
          <t>RTD cable, #18 shielded triads, PLTC</t>
        </is>
      </c>
      <c r="K4852" s="12" t="inlineStr">
        <is>
          <t>RTD|12 tri|18</t>
        </is>
      </c>
      <c r="L4852" s="12" t="inlineStr">
        <is>
          <t>12 tri</t>
        </is>
      </c>
      <c r="M4852" s="12" t="inlineStr">
        <is>
          <t>18</t>
        </is>
      </c>
      <c r="N4852" s="12" t="n">
        <v>1</v>
      </c>
      <c r="O4852" s="12" t="n">
        <v>1</v>
      </c>
      <c r="P4852" s="12" t="n"/>
      <c r="Q4852" s="12" t="n"/>
      <c r="R4852" s="12" t="n"/>
      <c r="S4852" s="12" t="inlineStr">
        <is>
          <t>Duct bank</t>
        </is>
      </c>
      <c r="T4852" s="15" t="n">
        <v>516</v>
      </c>
      <c r="U4852" s="15" t="n">
        <v>137</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I-I-0239</t>
        </is>
      </c>
      <c r="B4853" s="12" t="inlineStr">
        <is>
          <t>I</t>
        </is>
      </c>
      <c r="C4853" s="12" t="inlineStr">
        <is>
          <t>Modular / portable power</t>
        </is>
      </c>
      <c r="D4853" s="12" t="inlineStr">
        <is>
          <t>RTD to JB JB-RICE-1-RTD02: 2 x 1 tri (field cables)</t>
        </is>
      </c>
      <c r="E4853" s="12" t="inlineStr">
        <is>
          <t>RICE-1</t>
        </is>
      </c>
      <c r="F4853" s="12" t="inlineStr">
        <is>
          <t>RICE engine-generator 1</t>
        </is>
      </c>
      <c r="G4853" s="12" t="inlineStr">
        <is>
          <t>JB-RICE-1-RTD02</t>
        </is>
      </c>
      <c r="H4853" s="12" t="inlineStr">
        <is>
          <t>RICE engine-generator 1</t>
        </is>
      </c>
      <c r="I4853" s="12" t="inlineStr">
        <is>
          <t>Instrumentation</t>
        </is>
      </c>
      <c r="J4853" s="12" t="inlineStr">
        <is>
          <t>RTD cable, #18 shielded triads, PLTC</t>
        </is>
      </c>
      <c r="K4853" s="12" t="inlineStr">
        <is>
          <t>RTD|1 tri|18</t>
        </is>
      </c>
      <c r="L4853" s="12" t="inlineStr">
        <is>
          <t>1 tri</t>
        </is>
      </c>
      <c r="M4853" s="12" t="inlineStr">
        <is>
          <t>18</t>
        </is>
      </c>
      <c r="N4853" s="12" t="n">
        <v>2</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I-I-0240</t>
        </is>
      </c>
      <c r="B4854" s="12" t="inlineStr">
        <is>
          <t>I</t>
        </is>
      </c>
      <c r="C4854" s="12" t="inlineStr">
        <is>
          <t>Modular / portable power</t>
        </is>
      </c>
      <c r="D4854" s="12" t="inlineStr">
        <is>
          <t>Home run JB-RICE-1-RTD02 to the control / marshalling room</t>
        </is>
      </c>
      <c r="E4854" s="12" t="inlineStr"/>
      <c r="F4854" s="12" t="inlineStr">
        <is>
          <t>PCM: power control module</t>
        </is>
      </c>
      <c r="G4854" s="12" t="inlineStr">
        <is>
          <t>JB-RICE-1-RTD02</t>
        </is>
      </c>
      <c r="H4854" s="12" t="inlineStr">
        <is>
          <t>RICE engine-generator 1</t>
        </is>
      </c>
      <c r="I4854" s="12" t="inlineStr">
        <is>
          <t>Instrumentation</t>
        </is>
      </c>
      <c r="J4854" s="12" t="inlineStr">
        <is>
          <t>RTD cable, #18 shielded triads, PLTC</t>
        </is>
      </c>
      <c r="K4854" s="12" t="inlineStr">
        <is>
          <t>RTD|12 tri|18</t>
        </is>
      </c>
      <c r="L4854" s="12" t="inlineStr">
        <is>
          <t>12 tri</t>
        </is>
      </c>
      <c r="M4854" s="12" t="inlineStr">
        <is>
          <t>18</t>
        </is>
      </c>
      <c r="N4854" s="12" t="n">
        <v>1</v>
      </c>
      <c r="O4854" s="12" t="n">
        <v>1</v>
      </c>
      <c r="P4854" s="12" t="n"/>
      <c r="Q4854" s="12" t="n"/>
      <c r="R4854" s="12" t="n"/>
      <c r="S4854" s="12" t="inlineStr">
        <is>
          <t>Duct bank</t>
        </is>
      </c>
      <c r="T4854" s="15" t="n">
        <v>516</v>
      </c>
      <c r="U4854" s="15" t="n">
        <v>137</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I-I-0241</t>
        </is>
      </c>
      <c r="B4855" s="12" t="inlineStr">
        <is>
          <t>I</t>
        </is>
      </c>
      <c r="C4855" s="12" t="inlineStr">
        <is>
          <t>Modular / portable power</t>
        </is>
      </c>
      <c r="D4855" s="12" t="inlineStr">
        <is>
          <t>Analog instrument to JB JB-RICE-2-AI01: 20 x 1 pr (field cables)</t>
        </is>
      </c>
      <c r="E4855" s="12" t="inlineStr">
        <is>
          <t>RICE-2</t>
        </is>
      </c>
      <c r="F4855" s="12" t="inlineStr">
        <is>
          <t>RICE engine-generator 2</t>
        </is>
      </c>
      <c r="G4855" s="12" t="inlineStr">
        <is>
          <t>JB-RICE-2-AI01</t>
        </is>
      </c>
      <c r="H4855" s="12" t="inlineStr">
        <is>
          <t>RICE engine-generator 2</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I-I-0242</t>
        </is>
      </c>
      <c r="B4856" s="12" t="inlineStr">
        <is>
          <t>I</t>
        </is>
      </c>
      <c r="C4856" s="12" t="inlineStr">
        <is>
          <t>Modular / portable power</t>
        </is>
      </c>
      <c r="D4856" s="12" t="inlineStr">
        <is>
          <t>Home run JB-RICE-2-AI01 to the control / marshalling room</t>
        </is>
      </c>
      <c r="E4856" s="12" t="inlineStr"/>
      <c r="F4856" s="12" t="inlineStr">
        <is>
          <t>PCM: power control module</t>
        </is>
      </c>
      <c r="G4856" s="12" t="inlineStr">
        <is>
          <t>JB-RICE-2-AI01</t>
        </is>
      </c>
      <c r="H4856" s="12" t="inlineStr">
        <is>
          <t>RICE engine-generator 2</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I-I-0243</t>
        </is>
      </c>
      <c r="B4857" s="12" t="inlineStr">
        <is>
          <t>I</t>
        </is>
      </c>
      <c r="C4857" s="12" t="inlineStr">
        <is>
          <t>Modular / portable power</t>
        </is>
      </c>
      <c r="D4857" s="12" t="inlineStr">
        <is>
          <t>Analog instrument to JB JB-RICE-2-AI02: 20 x 1 pr (field cables)</t>
        </is>
      </c>
      <c r="E4857" s="12" t="inlineStr">
        <is>
          <t>RICE-2</t>
        </is>
      </c>
      <c r="F4857" s="12" t="inlineStr">
        <is>
          <t>RICE engine-generator 2</t>
        </is>
      </c>
      <c r="G4857" s="12" t="inlineStr">
        <is>
          <t>JB-RICE-2-AI02</t>
        </is>
      </c>
      <c r="H4857" s="12" t="inlineStr">
        <is>
          <t>RICE engine-generator 2</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I-I-0244</t>
        </is>
      </c>
      <c r="B4858" s="12" t="inlineStr">
        <is>
          <t>I</t>
        </is>
      </c>
      <c r="C4858" s="12" t="inlineStr">
        <is>
          <t>Modular / portable power</t>
        </is>
      </c>
      <c r="D4858" s="12" t="inlineStr">
        <is>
          <t>Home run JB-RICE-2-AI02 to the control / marshalling room</t>
        </is>
      </c>
      <c r="E4858" s="12" t="inlineStr"/>
      <c r="F4858" s="12" t="inlineStr">
        <is>
          <t>PCM: power control module</t>
        </is>
      </c>
      <c r="G4858" s="12" t="inlineStr">
        <is>
          <t>JB-RICE-2-AI02</t>
        </is>
      </c>
      <c r="H4858" s="12" t="inlineStr">
        <is>
          <t>RICE engine-generator 2</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I-I-0245</t>
        </is>
      </c>
      <c r="B4859" s="12" t="inlineStr">
        <is>
          <t>I</t>
        </is>
      </c>
      <c r="C4859" s="12" t="inlineStr">
        <is>
          <t>Modular / portable power</t>
        </is>
      </c>
      <c r="D4859" s="12" t="inlineStr">
        <is>
          <t>Analog instrument to JB JB-RICE-2-AI03: 20 x 1 pr (field cables)</t>
        </is>
      </c>
      <c r="E4859" s="12" t="inlineStr">
        <is>
          <t>RICE-2</t>
        </is>
      </c>
      <c r="F4859" s="12" t="inlineStr">
        <is>
          <t>RICE engine-generator 2</t>
        </is>
      </c>
      <c r="G4859" s="12" t="inlineStr">
        <is>
          <t>JB-RICE-2-AI03</t>
        </is>
      </c>
      <c r="H4859" s="12" t="inlineStr">
        <is>
          <t>RICE engine-generator 2</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I-I-0246</t>
        </is>
      </c>
      <c r="B4860" s="12" t="inlineStr">
        <is>
          <t>I</t>
        </is>
      </c>
      <c r="C4860" s="12" t="inlineStr">
        <is>
          <t>Modular / portable power</t>
        </is>
      </c>
      <c r="D4860" s="12" t="inlineStr">
        <is>
          <t>Home run JB-RICE-2-AI03 to the control / marshalling room</t>
        </is>
      </c>
      <c r="E4860" s="12" t="inlineStr"/>
      <c r="F4860" s="12" t="inlineStr">
        <is>
          <t>PCM: power control module</t>
        </is>
      </c>
      <c r="G4860" s="12" t="inlineStr">
        <is>
          <t>JB-RICE-2-AI03</t>
        </is>
      </c>
      <c r="H4860" s="12" t="inlineStr">
        <is>
          <t>RICE engine-generator 2</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I-I-0247</t>
        </is>
      </c>
      <c r="B4861" s="12" t="inlineStr">
        <is>
          <t>I</t>
        </is>
      </c>
      <c r="C4861" s="12" t="inlineStr">
        <is>
          <t>Modular / portable power</t>
        </is>
      </c>
      <c r="D4861" s="12" t="inlineStr">
        <is>
          <t>Analog instrument to JB JB-RICE-2-AI04: 20 x 1 pr (field cables)</t>
        </is>
      </c>
      <c r="E4861" s="12" t="inlineStr">
        <is>
          <t>RICE-2</t>
        </is>
      </c>
      <c r="F4861" s="12" t="inlineStr">
        <is>
          <t>RICE engine-generator 2</t>
        </is>
      </c>
      <c r="G4861" s="12" t="inlineStr">
        <is>
          <t>JB-RICE-2-AI04</t>
        </is>
      </c>
      <c r="H4861" s="12" t="inlineStr">
        <is>
          <t>RICE engine-generator 2</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I-I-0248</t>
        </is>
      </c>
      <c r="B4862" s="12" t="inlineStr">
        <is>
          <t>I</t>
        </is>
      </c>
      <c r="C4862" s="12" t="inlineStr">
        <is>
          <t>Modular / portable power</t>
        </is>
      </c>
      <c r="D4862" s="12" t="inlineStr">
        <is>
          <t>Home run JB-RICE-2-AI04 to the control / marshalling room</t>
        </is>
      </c>
      <c r="E4862" s="12" t="inlineStr"/>
      <c r="F4862" s="12" t="inlineStr">
        <is>
          <t>PCM: power control module</t>
        </is>
      </c>
      <c r="G4862" s="12" t="inlineStr">
        <is>
          <t>JB-RICE-2-AI04</t>
        </is>
      </c>
      <c r="H4862" s="12" t="inlineStr">
        <is>
          <t>RICE engine-generator 2</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109</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I-I-0249</t>
        </is>
      </c>
      <c r="B4863" s="12" t="inlineStr">
        <is>
          <t>I</t>
        </is>
      </c>
      <c r="C4863" s="12" t="inlineStr">
        <is>
          <t>Modular / portable power</t>
        </is>
      </c>
      <c r="D4863" s="12" t="inlineStr">
        <is>
          <t>Discrete device to JB JB-RICE-2-DI01: 20 x 1 pr (field cables)</t>
        </is>
      </c>
      <c r="E4863" s="12" t="inlineStr">
        <is>
          <t>RICE-2</t>
        </is>
      </c>
      <c r="F4863" s="12" t="inlineStr">
        <is>
          <t>RICE engine-generator 2</t>
        </is>
      </c>
      <c r="G4863" s="12" t="inlineStr">
        <is>
          <t>JB-RICE-2-DI01</t>
        </is>
      </c>
      <c r="H4863" s="12" t="inlineStr">
        <is>
          <t>RICE engine-generator 2</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I-I-0250</t>
        </is>
      </c>
      <c r="B4864" s="12" t="inlineStr">
        <is>
          <t>I</t>
        </is>
      </c>
      <c r="C4864" s="12" t="inlineStr">
        <is>
          <t>Modular / portable power</t>
        </is>
      </c>
      <c r="D4864" s="12" t="inlineStr">
        <is>
          <t>Home run JB-RICE-2-DI01 to the control / marshalling room</t>
        </is>
      </c>
      <c r="E4864" s="12" t="inlineStr"/>
      <c r="F4864" s="12" t="inlineStr">
        <is>
          <t>PCM: power control module</t>
        </is>
      </c>
      <c r="G4864" s="12" t="inlineStr">
        <is>
          <t>JB-RICE-2-DI01</t>
        </is>
      </c>
      <c r="H4864" s="12" t="inlineStr">
        <is>
          <t>RICE engine-generator 2</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109</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I-I-0251</t>
        </is>
      </c>
      <c r="B4865" s="12" t="inlineStr">
        <is>
          <t>I</t>
        </is>
      </c>
      <c r="C4865" s="12" t="inlineStr">
        <is>
          <t>Modular / portable power</t>
        </is>
      </c>
      <c r="D4865" s="12" t="inlineStr">
        <is>
          <t>Discrete device to JB JB-RICE-2-DI02: 20 x 1 pr (field cables)</t>
        </is>
      </c>
      <c r="E4865" s="12" t="inlineStr">
        <is>
          <t>RICE-2</t>
        </is>
      </c>
      <c r="F4865" s="12" t="inlineStr">
        <is>
          <t>RICE engine-generator 2</t>
        </is>
      </c>
      <c r="G4865" s="12" t="inlineStr">
        <is>
          <t>JB-RICE-2-DI02</t>
        </is>
      </c>
      <c r="H4865" s="12" t="inlineStr">
        <is>
          <t>RICE engine-generator 2</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I-I-0252</t>
        </is>
      </c>
      <c r="B4866" s="12" t="inlineStr">
        <is>
          <t>I</t>
        </is>
      </c>
      <c r="C4866" s="12" t="inlineStr">
        <is>
          <t>Modular / portable power</t>
        </is>
      </c>
      <c r="D4866" s="12" t="inlineStr">
        <is>
          <t>Home run JB-RICE-2-DI02 to the control / marshalling room</t>
        </is>
      </c>
      <c r="E4866" s="12" t="inlineStr"/>
      <c r="F4866" s="12" t="inlineStr">
        <is>
          <t>PCM: power control module</t>
        </is>
      </c>
      <c r="G4866" s="12" t="inlineStr">
        <is>
          <t>JB-RICE-2-DI02</t>
        </is>
      </c>
      <c r="H4866" s="12" t="inlineStr">
        <is>
          <t>RICE engine-generator 2</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109</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I-I-0253</t>
        </is>
      </c>
      <c r="B4867" s="12" t="inlineStr">
        <is>
          <t>I</t>
        </is>
      </c>
      <c r="C4867" s="12" t="inlineStr">
        <is>
          <t>Modular / portable power</t>
        </is>
      </c>
      <c r="D4867" s="12" t="inlineStr">
        <is>
          <t>Discrete device to JB JB-RICE-2-DI03: 20 x 1 pr (field cables)</t>
        </is>
      </c>
      <c r="E4867" s="12" t="inlineStr">
        <is>
          <t>RICE-2</t>
        </is>
      </c>
      <c r="F4867" s="12" t="inlineStr">
        <is>
          <t>RICE engine-generator 2</t>
        </is>
      </c>
      <c r="G4867" s="12" t="inlineStr">
        <is>
          <t>JB-RICE-2-DI03</t>
        </is>
      </c>
      <c r="H4867" s="12" t="inlineStr">
        <is>
          <t>RICE engine-generator 2</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I-I-0254</t>
        </is>
      </c>
      <c r="B4868" s="12" t="inlineStr">
        <is>
          <t>I</t>
        </is>
      </c>
      <c r="C4868" s="12" t="inlineStr">
        <is>
          <t>Modular / portable power</t>
        </is>
      </c>
      <c r="D4868" s="12" t="inlineStr">
        <is>
          <t>Home run JB-RICE-2-DI03 to the control / marshalling room</t>
        </is>
      </c>
      <c r="E4868" s="12" t="inlineStr"/>
      <c r="F4868" s="12" t="inlineStr">
        <is>
          <t>PCM: power control module</t>
        </is>
      </c>
      <c r="G4868" s="12" t="inlineStr">
        <is>
          <t>JB-RICE-2-DI03</t>
        </is>
      </c>
      <c r="H4868" s="12" t="inlineStr">
        <is>
          <t>RICE engine-generator 2</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109</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I-I-0255</t>
        </is>
      </c>
      <c r="B4869" s="12" t="inlineStr">
        <is>
          <t>I</t>
        </is>
      </c>
      <c r="C4869" s="12" t="inlineStr">
        <is>
          <t>Modular / portable power</t>
        </is>
      </c>
      <c r="D4869" s="12" t="inlineStr">
        <is>
          <t>Thermocouple to TC JB JB-RICE-2-TC01: 20 x 1 pr (field cables)</t>
        </is>
      </c>
      <c r="E4869" s="12" t="inlineStr">
        <is>
          <t>RICE-2</t>
        </is>
      </c>
      <c r="F4869" s="12" t="inlineStr">
        <is>
          <t>RICE engine-generator 2</t>
        </is>
      </c>
      <c r="G4869" s="12" t="inlineStr">
        <is>
          <t>JB-RICE-2-TC01</t>
        </is>
      </c>
      <c r="H4869" s="12" t="inlineStr">
        <is>
          <t>RICE engine-generator 2</t>
        </is>
      </c>
      <c r="I4869" s="12" t="inlineStr">
        <is>
          <t>Instrumentation</t>
        </is>
      </c>
      <c r="J4869" s="12" t="inlineStr">
        <is>
          <t>Thermocouple extension KX, #16 shielded pairs, PLTC</t>
        </is>
      </c>
      <c r="K4869" s="12" t="inlineStr">
        <is>
          <t>TCX|1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I-I-0256</t>
        </is>
      </c>
      <c r="B4870" s="12" t="inlineStr">
        <is>
          <t>I</t>
        </is>
      </c>
      <c r="C4870" s="12" t="inlineStr">
        <is>
          <t>Modular / portable power</t>
        </is>
      </c>
      <c r="D4870" s="12" t="inlineStr">
        <is>
          <t>Home run JB-RICE-2-TC01 to the control / marshalling room</t>
        </is>
      </c>
      <c r="E4870" s="12" t="inlineStr"/>
      <c r="F4870" s="12" t="inlineStr">
        <is>
          <t>PCM: power control module</t>
        </is>
      </c>
      <c r="G4870" s="12" t="inlineStr">
        <is>
          <t>JB-RICE-2-TC01</t>
        </is>
      </c>
      <c r="H4870" s="12" t="inlineStr">
        <is>
          <t>RICE engine-generator 2</t>
        </is>
      </c>
      <c r="I4870" s="12" t="inlineStr">
        <is>
          <t>Instrumentation</t>
        </is>
      </c>
      <c r="J4870" s="12" t="inlineStr">
        <is>
          <t>Thermocouple extension KX, #16 shielded pairs, PLTC</t>
        </is>
      </c>
      <c r="K4870" s="12" t="inlineStr">
        <is>
          <t>TCX|24 pr|16</t>
        </is>
      </c>
      <c r="L4870" s="12" t="inlineStr">
        <is>
          <t>24 pr</t>
        </is>
      </c>
      <c r="M4870" s="12" t="inlineStr">
        <is>
          <t>16</t>
        </is>
      </c>
      <c r="N4870" s="12" t="n">
        <v>1</v>
      </c>
      <c r="O4870" s="12" t="n">
        <v>1</v>
      </c>
      <c r="P4870" s="12" t="n"/>
      <c r="Q4870" s="12" t="n"/>
      <c r="R4870" s="12" t="n"/>
      <c r="S4870" s="12" t="inlineStr">
        <is>
          <t>Duct bank</t>
        </is>
      </c>
      <c r="T4870" s="15" t="n">
        <v>516</v>
      </c>
      <c r="U4870" s="15" t="n">
        <v>109</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I-I-0257</t>
        </is>
      </c>
      <c r="B4871" s="12" t="inlineStr">
        <is>
          <t>I</t>
        </is>
      </c>
      <c r="C4871" s="12" t="inlineStr">
        <is>
          <t>Modular / portable power</t>
        </is>
      </c>
      <c r="D4871" s="12" t="inlineStr">
        <is>
          <t>Thermocouple to TC JB JB-RICE-2-TC02: 10 x 1 pr (field cables)</t>
        </is>
      </c>
      <c r="E4871" s="12" t="inlineStr">
        <is>
          <t>RICE-2</t>
        </is>
      </c>
      <c r="F4871" s="12" t="inlineStr">
        <is>
          <t>RICE engine-generator 2</t>
        </is>
      </c>
      <c r="G4871" s="12" t="inlineStr">
        <is>
          <t>JB-RICE-2-TC02</t>
        </is>
      </c>
      <c r="H4871" s="12" t="inlineStr">
        <is>
          <t>RICE engine-generator 2</t>
        </is>
      </c>
      <c r="I4871" s="12" t="inlineStr">
        <is>
          <t>Instrumentation</t>
        </is>
      </c>
      <c r="J4871" s="12" t="inlineStr">
        <is>
          <t>Thermocouple extension KX, #16 shielded pairs, PLTC</t>
        </is>
      </c>
      <c r="K4871" s="12" t="inlineStr">
        <is>
          <t>TCX|1 pr|16</t>
        </is>
      </c>
      <c r="L4871" s="12" t="inlineStr">
        <is>
          <t>1 pr</t>
        </is>
      </c>
      <c r="M4871" s="12" t="inlineStr">
        <is>
          <t>16</t>
        </is>
      </c>
      <c r="N4871" s="12" t="n">
        <v>10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I-I-0258</t>
        </is>
      </c>
      <c r="B4872" s="12" t="inlineStr">
        <is>
          <t>I</t>
        </is>
      </c>
      <c r="C4872" s="12" t="inlineStr">
        <is>
          <t>Modular / portable power</t>
        </is>
      </c>
      <c r="D4872" s="12" t="inlineStr">
        <is>
          <t>Home run JB-RICE-2-TC02 to the control / marshalling room</t>
        </is>
      </c>
      <c r="E4872" s="12" t="inlineStr"/>
      <c r="F4872" s="12" t="inlineStr">
        <is>
          <t>PCM: power control module</t>
        </is>
      </c>
      <c r="G4872" s="12" t="inlineStr">
        <is>
          <t>JB-RICE-2-TC02</t>
        </is>
      </c>
      <c r="H4872" s="12" t="inlineStr">
        <is>
          <t>RICE engine-generator 2</t>
        </is>
      </c>
      <c r="I4872" s="12" t="inlineStr">
        <is>
          <t>Instrumentation</t>
        </is>
      </c>
      <c r="J4872" s="12" t="inlineStr">
        <is>
          <t>Thermocouple extension KX, #16 shielded pairs, PLTC</t>
        </is>
      </c>
      <c r="K4872" s="12" t="inlineStr">
        <is>
          <t>TCX|24 pr|16</t>
        </is>
      </c>
      <c r="L4872" s="12" t="inlineStr">
        <is>
          <t>24 pr</t>
        </is>
      </c>
      <c r="M4872" s="12" t="inlineStr">
        <is>
          <t>16</t>
        </is>
      </c>
      <c r="N4872" s="12" t="n">
        <v>1</v>
      </c>
      <c r="O4872" s="12" t="n">
        <v>1</v>
      </c>
      <c r="P4872" s="12" t="n"/>
      <c r="Q4872" s="12" t="n"/>
      <c r="R4872" s="12" t="n"/>
      <c r="S4872" s="12" t="inlineStr">
        <is>
          <t>Duct bank</t>
        </is>
      </c>
      <c r="T4872" s="15" t="n">
        <v>516</v>
      </c>
      <c r="U4872" s="15" t="n">
        <v>109</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I-I-0259</t>
        </is>
      </c>
      <c r="B4873" s="12" t="inlineStr">
        <is>
          <t>I</t>
        </is>
      </c>
      <c r="C4873" s="12" t="inlineStr">
        <is>
          <t>Modular / portable power</t>
        </is>
      </c>
      <c r="D4873" s="12" t="inlineStr">
        <is>
          <t>RTD to JB JB-RICE-2-RTD01: 10 x 1 tri (field cables)</t>
        </is>
      </c>
      <c r="E4873" s="12" t="inlineStr">
        <is>
          <t>RICE-2</t>
        </is>
      </c>
      <c r="F4873" s="12" t="inlineStr">
        <is>
          <t>RICE engine-generator 2</t>
        </is>
      </c>
      <c r="G4873" s="12" t="inlineStr">
        <is>
          <t>JB-RICE-2-RTD01</t>
        </is>
      </c>
      <c r="H4873" s="12" t="inlineStr">
        <is>
          <t>RICE engine-generator 2</t>
        </is>
      </c>
      <c r="I4873" s="12" t="inlineStr">
        <is>
          <t>Instrumentation</t>
        </is>
      </c>
      <c r="J4873" s="12" t="inlineStr">
        <is>
          <t>RTD cable, #18 shielded triads, PLTC</t>
        </is>
      </c>
      <c r="K4873" s="12" t="inlineStr">
        <is>
          <t>RTD|1 tri|18</t>
        </is>
      </c>
      <c r="L4873" s="12" t="inlineStr">
        <is>
          <t>1 tri</t>
        </is>
      </c>
      <c r="M4873" s="12" t="inlineStr">
        <is>
          <t>18</t>
        </is>
      </c>
      <c r="N4873" s="12" t="n">
        <v>10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I-I-0260</t>
        </is>
      </c>
      <c r="B4874" s="12" t="inlineStr">
        <is>
          <t>I</t>
        </is>
      </c>
      <c r="C4874" s="12" t="inlineStr">
        <is>
          <t>Modular / portable power</t>
        </is>
      </c>
      <c r="D4874" s="12" t="inlineStr">
        <is>
          <t>Home run JB-RICE-2-RTD01 to the control / marshalling room</t>
        </is>
      </c>
      <c r="E4874" s="12" t="inlineStr"/>
      <c r="F4874" s="12" t="inlineStr">
        <is>
          <t>PCM: power control module</t>
        </is>
      </c>
      <c r="G4874" s="12" t="inlineStr">
        <is>
          <t>JB-RICE-2-RTD01</t>
        </is>
      </c>
      <c r="H4874" s="12" t="inlineStr">
        <is>
          <t>RICE engine-generator 2</t>
        </is>
      </c>
      <c r="I4874" s="12" t="inlineStr">
        <is>
          <t>Instrumentation</t>
        </is>
      </c>
      <c r="J4874" s="12" t="inlineStr">
        <is>
          <t>RTD cable, #18 shielded triads, PLTC</t>
        </is>
      </c>
      <c r="K4874" s="12" t="inlineStr">
        <is>
          <t>RTD|12 tri|18</t>
        </is>
      </c>
      <c r="L4874" s="12" t="inlineStr">
        <is>
          <t>12 tri</t>
        </is>
      </c>
      <c r="M4874" s="12" t="inlineStr">
        <is>
          <t>18</t>
        </is>
      </c>
      <c r="N4874" s="12" t="n">
        <v>1</v>
      </c>
      <c r="O4874" s="12" t="n">
        <v>1</v>
      </c>
      <c r="P4874" s="12" t="n"/>
      <c r="Q4874" s="12" t="n"/>
      <c r="R4874" s="12" t="n"/>
      <c r="S4874" s="12" t="inlineStr">
        <is>
          <t>Duct bank</t>
        </is>
      </c>
      <c r="T4874" s="15" t="n">
        <v>516</v>
      </c>
      <c r="U4874" s="15" t="n">
        <v>109</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I-I-0261</t>
        </is>
      </c>
      <c r="B4875" s="12" t="inlineStr">
        <is>
          <t>I</t>
        </is>
      </c>
      <c r="C4875" s="12" t="inlineStr">
        <is>
          <t>Modular / portable power</t>
        </is>
      </c>
      <c r="D4875" s="12" t="inlineStr">
        <is>
          <t>RTD to JB JB-RICE-2-RTD02: 2 x 1 tri (field cables)</t>
        </is>
      </c>
      <c r="E4875" s="12" t="inlineStr">
        <is>
          <t>RICE-2</t>
        </is>
      </c>
      <c r="F4875" s="12" t="inlineStr">
        <is>
          <t>RICE engine-generator 2</t>
        </is>
      </c>
      <c r="G4875" s="12" t="inlineStr">
        <is>
          <t>JB-RICE-2-RTD02</t>
        </is>
      </c>
      <c r="H4875" s="12" t="inlineStr">
        <is>
          <t>RICE engine-generator 2</t>
        </is>
      </c>
      <c r="I4875" s="12" t="inlineStr">
        <is>
          <t>Instrumentation</t>
        </is>
      </c>
      <c r="J4875" s="12" t="inlineStr">
        <is>
          <t>RTD cable, #18 shielded triads, PLTC</t>
        </is>
      </c>
      <c r="K4875" s="12" t="inlineStr">
        <is>
          <t>RTD|1 tri|18</t>
        </is>
      </c>
      <c r="L4875" s="12" t="inlineStr">
        <is>
          <t>1 tri</t>
        </is>
      </c>
      <c r="M4875" s="12" t="inlineStr">
        <is>
          <t>18</t>
        </is>
      </c>
      <c r="N4875" s="12" t="n">
        <v>2</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I-I-0262</t>
        </is>
      </c>
      <c r="B4876" s="12" t="inlineStr">
        <is>
          <t>I</t>
        </is>
      </c>
      <c r="C4876" s="12" t="inlineStr">
        <is>
          <t>Modular / portable power</t>
        </is>
      </c>
      <c r="D4876" s="12" t="inlineStr">
        <is>
          <t>Home run JB-RICE-2-RTD02 to the control / marshalling room</t>
        </is>
      </c>
      <c r="E4876" s="12" t="inlineStr"/>
      <c r="F4876" s="12" t="inlineStr">
        <is>
          <t>PCM: power control module</t>
        </is>
      </c>
      <c r="G4876" s="12" t="inlineStr">
        <is>
          <t>JB-RICE-2-RTD02</t>
        </is>
      </c>
      <c r="H4876" s="12" t="inlineStr">
        <is>
          <t>RICE engine-generator 2</t>
        </is>
      </c>
      <c r="I4876" s="12" t="inlineStr">
        <is>
          <t>Instrumentation</t>
        </is>
      </c>
      <c r="J4876" s="12" t="inlineStr">
        <is>
          <t>RTD cable, #18 shielded triads, PLTC</t>
        </is>
      </c>
      <c r="K4876" s="12" t="inlineStr">
        <is>
          <t>RTD|12 tri|18</t>
        </is>
      </c>
      <c r="L4876" s="12" t="inlineStr">
        <is>
          <t>12 tri</t>
        </is>
      </c>
      <c r="M4876" s="12" t="inlineStr">
        <is>
          <t>18</t>
        </is>
      </c>
      <c r="N4876" s="12" t="n">
        <v>1</v>
      </c>
      <c r="O4876" s="12" t="n">
        <v>1</v>
      </c>
      <c r="P4876" s="12" t="n"/>
      <c r="Q4876" s="12" t="n"/>
      <c r="R4876" s="12" t="n"/>
      <c r="S4876" s="12" t="inlineStr">
        <is>
          <t>Duct bank</t>
        </is>
      </c>
      <c r="T4876" s="15" t="n">
        <v>516</v>
      </c>
      <c r="U4876" s="15" t="n">
        <v>109</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I-I-0263</t>
        </is>
      </c>
      <c r="B4877" s="12" t="inlineStr">
        <is>
          <t>I</t>
        </is>
      </c>
      <c r="C4877" s="12" t="inlineStr">
        <is>
          <t>Modular / portable power</t>
        </is>
      </c>
      <c r="D4877" s="12" t="inlineStr">
        <is>
          <t>Analog instrument to JB JB-RICE-3-AI01: 20 x 1 pr (field cables)</t>
        </is>
      </c>
      <c r="E4877" s="12" t="inlineStr">
        <is>
          <t>RICE-3</t>
        </is>
      </c>
      <c r="F4877" s="12" t="inlineStr">
        <is>
          <t>RICE engine-generator 3</t>
        </is>
      </c>
      <c r="G4877" s="12" t="inlineStr">
        <is>
          <t>JB-RICE-3-AI01</t>
        </is>
      </c>
      <c r="H4877" s="12" t="inlineStr">
        <is>
          <t>RICE engine-generator 3</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I-I-0264</t>
        </is>
      </c>
      <c r="B4878" s="12" t="inlineStr">
        <is>
          <t>I</t>
        </is>
      </c>
      <c r="C4878" s="12" t="inlineStr">
        <is>
          <t>Modular / portable power</t>
        </is>
      </c>
      <c r="D4878" s="12" t="inlineStr">
        <is>
          <t>Home run JB-RICE-3-AI01 to the control / marshalling room</t>
        </is>
      </c>
      <c r="E4878" s="12" t="inlineStr"/>
      <c r="F4878" s="12" t="inlineStr">
        <is>
          <t>PCM: power control module</t>
        </is>
      </c>
      <c r="G4878" s="12" t="inlineStr">
        <is>
          <t>JB-RICE-3-AI01</t>
        </is>
      </c>
      <c r="H4878" s="12" t="inlineStr">
        <is>
          <t>RICE engine-generator 3</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I-I-0265</t>
        </is>
      </c>
      <c r="B4879" s="12" t="inlineStr">
        <is>
          <t>I</t>
        </is>
      </c>
      <c r="C4879" s="12" t="inlineStr">
        <is>
          <t>Modular / portable power</t>
        </is>
      </c>
      <c r="D4879" s="12" t="inlineStr">
        <is>
          <t>Analog instrument to JB JB-RICE-3-AI02: 20 x 1 pr (field cables)</t>
        </is>
      </c>
      <c r="E4879" s="12" t="inlineStr">
        <is>
          <t>RICE-3</t>
        </is>
      </c>
      <c r="F4879" s="12" t="inlineStr">
        <is>
          <t>RICE engine-generator 3</t>
        </is>
      </c>
      <c r="G4879" s="12" t="inlineStr">
        <is>
          <t>JB-RICE-3-AI02</t>
        </is>
      </c>
      <c r="H4879" s="12" t="inlineStr">
        <is>
          <t>RICE engine-generator 3</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I-I-0266</t>
        </is>
      </c>
      <c r="B4880" s="12" t="inlineStr">
        <is>
          <t>I</t>
        </is>
      </c>
      <c r="C4880" s="12" t="inlineStr">
        <is>
          <t>Modular / portable power</t>
        </is>
      </c>
      <c r="D4880" s="12" t="inlineStr">
        <is>
          <t>Home run JB-RICE-3-AI02 to the control / marshalling room</t>
        </is>
      </c>
      <c r="E4880" s="12" t="inlineStr"/>
      <c r="F4880" s="12" t="inlineStr">
        <is>
          <t>PCM: power control module</t>
        </is>
      </c>
      <c r="G4880" s="12" t="inlineStr">
        <is>
          <t>JB-RICE-3-AI02</t>
        </is>
      </c>
      <c r="H4880" s="12" t="inlineStr">
        <is>
          <t>RICE engine-generator 3</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I-I-0267</t>
        </is>
      </c>
      <c r="B4881" s="12" t="inlineStr">
        <is>
          <t>I</t>
        </is>
      </c>
      <c r="C4881" s="12" t="inlineStr">
        <is>
          <t>Modular / portable power</t>
        </is>
      </c>
      <c r="D4881" s="12" t="inlineStr">
        <is>
          <t>Analog instrument to JB JB-RICE-3-AI03: 20 x 1 pr (field cables)</t>
        </is>
      </c>
      <c r="E4881" s="12" t="inlineStr">
        <is>
          <t>RICE-3</t>
        </is>
      </c>
      <c r="F4881" s="12" t="inlineStr">
        <is>
          <t>RICE engine-generator 3</t>
        </is>
      </c>
      <c r="G4881" s="12" t="inlineStr">
        <is>
          <t>JB-RICE-3-AI03</t>
        </is>
      </c>
      <c r="H4881" s="12" t="inlineStr">
        <is>
          <t>RICE engine-generator 3</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I-I-0268</t>
        </is>
      </c>
      <c r="B4882" s="12" t="inlineStr">
        <is>
          <t>I</t>
        </is>
      </c>
      <c r="C4882" s="12" t="inlineStr">
        <is>
          <t>Modular / portable power</t>
        </is>
      </c>
      <c r="D4882" s="12" t="inlineStr">
        <is>
          <t>Home run JB-RICE-3-AI03 to the control / marshalling room</t>
        </is>
      </c>
      <c r="E4882" s="12" t="inlineStr"/>
      <c r="F4882" s="12" t="inlineStr">
        <is>
          <t>PCM: power control module</t>
        </is>
      </c>
      <c r="G4882" s="12" t="inlineStr">
        <is>
          <t>JB-RICE-3-AI03</t>
        </is>
      </c>
      <c r="H4882" s="12" t="inlineStr">
        <is>
          <t>RICE engine-generator 3</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I-I-0269</t>
        </is>
      </c>
      <c r="B4883" s="12" t="inlineStr">
        <is>
          <t>I</t>
        </is>
      </c>
      <c r="C4883" s="12" t="inlineStr">
        <is>
          <t>Modular / portable power</t>
        </is>
      </c>
      <c r="D4883" s="12" t="inlineStr">
        <is>
          <t>Analog instrument to JB JB-RICE-3-AI04: 20 x 1 pr (field cables)</t>
        </is>
      </c>
      <c r="E4883" s="12" t="inlineStr">
        <is>
          <t>RICE-3</t>
        </is>
      </c>
      <c r="F4883" s="12" t="inlineStr">
        <is>
          <t>RICE engine-generator 3</t>
        </is>
      </c>
      <c r="G4883" s="12" t="inlineStr">
        <is>
          <t>JB-RICE-3-AI04</t>
        </is>
      </c>
      <c r="H4883" s="12" t="inlineStr">
        <is>
          <t>RICE engine-generator 3</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I-I-0270</t>
        </is>
      </c>
      <c r="B4884" s="12" t="inlineStr">
        <is>
          <t>I</t>
        </is>
      </c>
      <c r="C4884" s="12" t="inlineStr">
        <is>
          <t>Modular / portable power</t>
        </is>
      </c>
      <c r="D4884" s="12" t="inlineStr">
        <is>
          <t>Home run JB-RICE-3-AI04 to the control / marshalling room</t>
        </is>
      </c>
      <c r="E4884" s="12" t="inlineStr"/>
      <c r="F4884" s="12" t="inlineStr">
        <is>
          <t>PCM: power control module</t>
        </is>
      </c>
      <c r="G4884" s="12" t="inlineStr">
        <is>
          <t>JB-RICE-3-AI04</t>
        </is>
      </c>
      <c r="H4884" s="12" t="inlineStr">
        <is>
          <t>RICE engine-generator 3</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81</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I-I-0271</t>
        </is>
      </c>
      <c r="B4885" s="12" t="inlineStr">
        <is>
          <t>I</t>
        </is>
      </c>
      <c r="C4885" s="12" t="inlineStr">
        <is>
          <t>Modular / portable power</t>
        </is>
      </c>
      <c r="D4885" s="12" t="inlineStr">
        <is>
          <t>Discrete device to JB JB-RICE-3-DI01: 20 x 1 pr (field cables)</t>
        </is>
      </c>
      <c r="E4885" s="12" t="inlineStr">
        <is>
          <t>RICE-3</t>
        </is>
      </c>
      <c r="F4885" s="12" t="inlineStr">
        <is>
          <t>RICE engine-generator 3</t>
        </is>
      </c>
      <c r="G4885" s="12" t="inlineStr">
        <is>
          <t>JB-RICE-3-DI01</t>
        </is>
      </c>
      <c r="H4885" s="12" t="inlineStr">
        <is>
          <t>RICE engine-generator 3</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I-I-0272</t>
        </is>
      </c>
      <c r="B4886" s="12" t="inlineStr">
        <is>
          <t>I</t>
        </is>
      </c>
      <c r="C4886" s="12" t="inlineStr">
        <is>
          <t>Modular / portable power</t>
        </is>
      </c>
      <c r="D4886" s="12" t="inlineStr">
        <is>
          <t>Home run JB-RICE-3-DI01 to the control / marshalling room</t>
        </is>
      </c>
      <c r="E4886" s="12" t="inlineStr"/>
      <c r="F4886" s="12" t="inlineStr">
        <is>
          <t>PCM: power control module</t>
        </is>
      </c>
      <c r="G4886" s="12" t="inlineStr">
        <is>
          <t>JB-RICE-3-DI01</t>
        </is>
      </c>
      <c r="H4886" s="12" t="inlineStr">
        <is>
          <t>RICE engine-generator 3</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81</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I-I-0273</t>
        </is>
      </c>
      <c r="B4887" s="12" t="inlineStr">
        <is>
          <t>I</t>
        </is>
      </c>
      <c r="C4887" s="12" t="inlineStr">
        <is>
          <t>Modular / portable power</t>
        </is>
      </c>
      <c r="D4887" s="12" t="inlineStr">
        <is>
          <t>Discrete device to JB JB-RICE-3-DI02: 20 x 1 pr (field cables)</t>
        </is>
      </c>
      <c r="E4887" s="12" t="inlineStr">
        <is>
          <t>RICE-3</t>
        </is>
      </c>
      <c r="F4887" s="12" t="inlineStr">
        <is>
          <t>RICE engine-generator 3</t>
        </is>
      </c>
      <c r="G4887" s="12" t="inlineStr">
        <is>
          <t>JB-RICE-3-DI02</t>
        </is>
      </c>
      <c r="H4887" s="12" t="inlineStr">
        <is>
          <t>RICE engine-generator 3</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I-I-0274</t>
        </is>
      </c>
      <c r="B4888" s="12" t="inlineStr">
        <is>
          <t>I</t>
        </is>
      </c>
      <c r="C4888" s="12" t="inlineStr">
        <is>
          <t>Modular / portable power</t>
        </is>
      </c>
      <c r="D4888" s="12" t="inlineStr">
        <is>
          <t>Home run JB-RICE-3-DI02 to the control / marshalling room</t>
        </is>
      </c>
      <c r="E4888" s="12" t="inlineStr"/>
      <c r="F4888" s="12" t="inlineStr">
        <is>
          <t>PCM: power control module</t>
        </is>
      </c>
      <c r="G4888" s="12" t="inlineStr">
        <is>
          <t>JB-RICE-3-DI02</t>
        </is>
      </c>
      <c r="H4888" s="12" t="inlineStr">
        <is>
          <t>RICE engine-generator 3</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81</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I-I-0275</t>
        </is>
      </c>
      <c r="B4889" s="12" t="inlineStr">
        <is>
          <t>I</t>
        </is>
      </c>
      <c r="C4889" s="12" t="inlineStr">
        <is>
          <t>Modular / portable power</t>
        </is>
      </c>
      <c r="D4889" s="12" t="inlineStr">
        <is>
          <t>Discrete device to JB JB-RICE-3-DI03: 20 x 1 pr (field cables)</t>
        </is>
      </c>
      <c r="E4889" s="12" t="inlineStr">
        <is>
          <t>RICE-3</t>
        </is>
      </c>
      <c r="F4889" s="12" t="inlineStr">
        <is>
          <t>RICE engine-generator 3</t>
        </is>
      </c>
      <c r="G4889" s="12" t="inlineStr">
        <is>
          <t>JB-RICE-3-DI03</t>
        </is>
      </c>
      <c r="H4889" s="12" t="inlineStr">
        <is>
          <t>RICE engine-generator 3</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I-I-0276</t>
        </is>
      </c>
      <c r="B4890" s="12" t="inlineStr">
        <is>
          <t>I</t>
        </is>
      </c>
      <c r="C4890" s="12" t="inlineStr">
        <is>
          <t>Modular / portable power</t>
        </is>
      </c>
      <c r="D4890" s="12" t="inlineStr">
        <is>
          <t>Home run JB-RICE-3-DI03 to the control / marshalling room</t>
        </is>
      </c>
      <c r="E4890" s="12" t="inlineStr"/>
      <c r="F4890" s="12" t="inlineStr">
        <is>
          <t>PCM: power control module</t>
        </is>
      </c>
      <c r="G4890" s="12" t="inlineStr">
        <is>
          <t>JB-RICE-3-DI03</t>
        </is>
      </c>
      <c r="H4890" s="12" t="inlineStr">
        <is>
          <t>RICE engine-generator 3</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81</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I-I-0277</t>
        </is>
      </c>
      <c r="B4891" s="12" t="inlineStr">
        <is>
          <t>I</t>
        </is>
      </c>
      <c r="C4891" s="12" t="inlineStr">
        <is>
          <t>Modular / portable power</t>
        </is>
      </c>
      <c r="D4891" s="12" t="inlineStr">
        <is>
          <t>Thermocouple to TC JB JB-RICE-3-TC01: 20 x 1 pr (field cables)</t>
        </is>
      </c>
      <c r="E4891" s="12" t="inlineStr">
        <is>
          <t>RICE-3</t>
        </is>
      </c>
      <c r="F4891" s="12" t="inlineStr">
        <is>
          <t>RICE engine-generator 3</t>
        </is>
      </c>
      <c r="G4891" s="12" t="inlineStr">
        <is>
          <t>JB-RICE-3-TC01</t>
        </is>
      </c>
      <c r="H4891" s="12" t="inlineStr">
        <is>
          <t>RICE engine-generator 3</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I-I-0278</t>
        </is>
      </c>
      <c r="B4892" s="12" t="inlineStr">
        <is>
          <t>I</t>
        </is>
      </c>
      <c r="C4892" s="12" t="inlineStr">
        <is>
          <t>Modular / portable power</t>
        </is>
      </c>
      <c r="D4892" s="12" t="inlineStr">
        <is>
          <t>Home run JB-RICE-3-TC01 to the control / marshalling room</t>
        </is>
      </c>
      <c r="E4892" s="12" t="inlineStr"/>
      <c r="F4892" s="12" t="inlineStr">
        <is>
          <t>PCM: power control module</t>
        </is>
      </c>
      <c r="G4892" s="12" t="inlineStr">
        <is>
          <t>JB-RICE-3-TC01</t>
        </is>
      </c>
      <c r="H4892" s="12" t="inlineStr">
        <is>
          <t>RICE engine-generator 3</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5" t="n">
        <v>516</v>
      </c>
      <c r="U4892" s="15" t="n">
        <v>81</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I-I-0279</t>
        </is>
      </c>
      <c r="B4893" s="12" t="inlineStr">
        <is>
          <t>I</t>
        </is>
      </c>
      <c r="C4893" s="12" t="inlineStr">
        <is>
          <t>Modular / portable power</t>
        </is>
      </c>
      <c r="D4893" s="12" t="inlineStr">
        <is>
          <t>Thermocouple to TC JB JB-RICE-3-TC02: 10 x 1 pr (field cables)</t>
        </is>
      </c>
      <c r="E4893" s="12" t="inlineStr">
        <is>
          <t>RICE-3</t>
        </is>
      </c>
      <c r="F4893" s="12" t="inlineStr">
        <is>
          <t>RICE engine-generator 3</t>
        </is>
      </c>
      <c r="G4893" s="12" t="inlineStr">
        <is>
          <t>JB-RICE-3-TC02</t>
        </is>
      </c>
      <c r="H4893" s="12" t="inlineStr">
        <is>
          <t>RICE engine-generator 3</t>
        </is>
      </c>
      <c r="I4893" s="12" t="inlineStr">
        <is>
          <t>Instrumentation</t>
        </is>
      </c>
      <c r="J4893" s="12" t="inlineStr">
        <is>
          <t>Thermocouple extension KX, #16 shielded pairs, PLTC</t>
        </is>
      </c>
      <c r="K4893" s="12" t="inlineStr">
        <is>
          <t>TCX|1 pr|16</t>
        </is>
      </c>
      <c r="L4893" s="12" t="inlineStr">
        <is>
          <t>1 pr</t>
        </is>
      </c>
      <c r="M4893" s="12" t="inlineStr">
        <is>
          <t>16</t>
        </is>
      </c>
      <c r="N4893" s="12" t="n">
        <v>10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I-I-0280</t>
        </is>
      </c>
      <c r="B4894" s="12" t="inlineStr">
        <is>
          <t>I</t>
        </is>
      </c>
      <c r="C4894" s="12" t="inlineStr">
        <is>
          <t>Modular / portable power</t>
        </is>
      </c>
      <c r="D4894" s="12" t="inlineStr">
        <is>
          <t>Home run JB-RICE-3-TC02 to the control / marshalling room</t>
        </is>
      </c>
      <c r="E4894" s="12" t="inlineStr"/>
      <c r="F4894" s="12" t="inlineStr">
        <is>
          <t>PCM: power control module</t>
        </is>
      </c>
      <c r="G4894" s="12" t="inlineStr">
        <is>
          <t>JB-RICE-3-TC02</t>
        </is>
      </c>
      <c r="H4894" s="12" t="inlineStr">
        <is>
          <t>RICE engine-generator 3</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5" t="n">
        <v>516</v>
      </c>
      <c r="U4894" s="15" t="n">
        <v>81</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I-I-0281</t>
        </is>
      </c>
      <c r="B4895" s="12" t="inlineStr">
        <is>
          <t>I</t>
        </is>
      </c>
      <c r="C4895" s="12" t="inlineStr">
        <is>
          <t>Modular / portable power</t>
        </is>
      </c>
      <c r="D4895" s="12" t="inlineStr">
        <is>
          <t>RTD to JB JB-RICE-3-RTD01: 10 x 1 tri (field cables)</t>
        </is>
      </c>
      <c r="E4895" s="12" t="inlineStr">
        <is>
          <t>RICE-3</t>
        </is>
      </c>
      <c r="F4895" s="12" t="inlineStr">
        <is>
          <t>RICE engine-generator 3</t>
        </is>
      </c>
      <c r="G4895" s="12" t="inlineStr">
        <is>
          <t>JB-RICE-3-RTD01</t>
        </is>
      </c>
      <c r="H4895" s="12" t="inlineStr">
        <is>
          <t>RICE engine-generator 3</t>
        </is>
      </c>
      <c r="I4895" s="12" t="inlineStr">
        <is>
          <t>Instrumentation</t>
        </is>
      </c>
      <c r="J4895" s="12" t="inlineStr">
        <is>
          <t>RTD cable, #18 shielded triads, PLTC</t>
        </is>
      </c>
      <c r="K4895" s="12" t="inlineStr">
        <is>
          <t>RTD|1 tri|18</t>
        </is>
      </c>
      <c r="L4895" s="12" t="inlineStr">
        <is>
          <t>1 tri</t>
        </is>
      </c>
      <c r="M4895" s="12" t="inlineStr">
        <is>
          <t>18</t>
        </is>
      </c>
      <c r="N4895" s="12" t="n">
        <v>10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I-I-0282</t>
        </is>
      </c>
      <c r="B4896" s="12" t="inlineStr">
        <is>
          <t>I</t>
        </is>
      </c>
      <c r="C4896" s="12" t="inlineStr">
        <is>
          <t>Modular / portable power</t>
        </is>
      </c>
      <c r="D4896" s="12" t="inlineStr">
        <is>
          <t>Home run JB-RICE-3-RTD01 to the control / marshalling room</t>
        </is>
      </c>
      <c r="E4896" s="12" t="inlineStr"/>
      <c r="F4896" s="12" t="inlineStr">
        <is>
          <t>PCM: power control module</t>
        </is>
      </c>
      <c r="G4896" s="12" t="inlineStr">
        <is>
          <t>JB-RICE-3-RTD01</t>
        </is>
      </c>
      <c r="H4896" s="12" t="inlineStr">
        <is>
          <t>RICE engine-generator 3</t>
        </is>
      </c>
      <c r="I4896" s="12" t="inlineStr">
        <is>
          <t>Instrumentation</t>
        </is>
      </c>
      <c r="J4896" s="12" t="inlineStr">
        <is>
          <t>RTD cable, #18 shielded triads, PLTC</t>
        </is>
      </c>
      <c r="K4896" s="12" t="inlineStr">
        <is>
          <t>RTD|12 tri|18</t>
        </is>
      </c>
      <c r="L4896" s="12" t="inlineStr">
        <is>
          <t>12 tri</t>
        </is>
      </c>
      <c r="M4896" s="12" t="inlineStr">
        <is>
          <t>18</t>
        </is>
      </c>
      <c r="N4896" s="12" t="n">
        <v>1</v>
      </c>
      <c r="O4896" s="12" t="n">
        <v>1</v>
      </c>
      <c r="P4896" s="12" t="n"/>
      <c r="Q4896" s="12" t="n"/>
      <c r="R4896" s="12" t="n"/>
      <c r="S4896" s="12" t="inlineStr">
        <is>
          <t>Duct bank</t>
        </is>
      </c>
      <c r="T4896" s="15" t="n">
        <v>516</v>
      </c>
      <c r="U4896" s="15" t="n">
        <v>81</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I-I-0283</t>
        </is>
      </c>
      <c r="B4897" s="12" t="inlineStr">
        <is>
          <t>I</t>
        </is>
      </c>
      <c r="C4897" s="12" t="inlineStr">
        <is>
          <t>Modular / portable power</t>
        </is>
      </c>
      <c r="D4897" s="12" t="inlineStr">
        <is>
          <t>RTD to JB JB-RICE-3-RTD02: 2 x 1 tri (field cables)</t>
        </is>
      </c>
      <c r="E4897" s="12" t="inlineStr">
        <is>
          <t>RICE-3</t>
        </is>
      </c>
      <c r="F4897" s="12" t="inlineStr">
        <is>
          <t>RICE engine-generator 3</t>
        </is>
      </c>
      <c r="G4897" s="12" t="inlineStr">
        <is>
          <t>JB-RICE-3-RTD02</t>
        </is>
      </c>
      <c r="H4897" s="12" t="inlineStr">
        <is>
          <t>RICE engine-generator 3</t>
        </is>
      </c>
      <c r="I4897" s="12" t="inlineStr">
        <is>
          <t>Instrumentation</t>
        </is>
      </c>
      <c r="J4897" s="12" t="inlineStr">
        <is>
          <t>RTD cable, #18 shielded triads, PLTC</t>
        </is>
      </c>
      <c r="K4897" s="12" t="inlineStr">
        <is>
          <t>RTD|1 tri|18</t>
        </is>
      </c>
      <c r="L4897" s="12" t="inlineStr">
        <is>
          <t>1 tri</t>
        </is>
      </c>
      <c r="M4897" s="12" t="inlineStr">
        <is>
          <t>18</t>
        </is>
      </c>
      <c r="N4897" s="12" t="n">
        <v>2</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I-I-0284</t>
        </is>
      </c>
      <c r="B4898" s="12" t="inlineStr">
        <is>
          <t>I</t>
        </is>
      </c>
      <c r="C4898" s="12" t="inlineStr">
        <is>
          <t>Modular / portable power</t>
        </is>
      </c>
      <c r="D4898" s="12" t="inlineStr">
        <is>
          <t>Home run JB-RICE-3-RTD02 to the control / marshalling room</t>
        </is>
      </c>
      <c r="E4898" s="12" t="inlineStr"/>
      <c r="F4898" s="12" t="inlineStr">
        <is>
          <t>PCM: power control module</t>
        </is>
      </c>
      <c r="G4898" s="12" t="inlineStr">
        <is>
          <t>JB-RICE-3-RTD02</t>
        </is>
      </c>
      <c r="H4898" s="12" t="inlineStr">
        <is>
          <t>RICE engine-generator 3</t>
        </is>
      </c>
      <c r="I4898" s="12" t="inlineStr">
        <is>
          <t>Instrumentation</t>
        </is>
      </c>
      <c r="J4898" s="12" t="inlineStr">
        <is>
          <t>RTD cable, #18 shielded triads, PLTC</t>
        </is>
      </c>
      <c r="K4898" s="12" t="inlineStr">
        <is>
          <t>RTD|12 tri|18</t>
        </is>
      </c>
      <c r="L4898" s="12" t="inlineStr">
        <is>
          <t>12 tri</t>
        </is>
      </c>
      <c r="M4898" s="12" t="inlineStr">
        <is>
          <t>18</t>
        </is>
      </c>
      <c r="N4898" s="12" t="n">
        <v>1</v>
      </c>
      <c r="O4898" s="12" t="n">
        <v>1</v>
      </c>
      <c r="P4898" s="12" t="n"/>
      <c r="Q4898" s="12" t="n"/>
      <c r="R4898" s="12" t="n"/>
      <c r="S4898" s="12" t="inlineStr">
        <is>
          <t>Duct bank</t>
        </is>
      </c>
      <c r="T4898" s="15" t="n">
        <v>516</v>
      </c>
      <c r="U4898" s="15" t="n">
        <v>81</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I-I-0285</t>
        </is>
      </c>
      <c r="B4899" s="12" t="inlineStr">
        <is>
          <t>I</t>
        </is>
      </c>
      <c r="C4899" s="12" t="inlineStr">
        <is>
          <t>Modular / portable power</t>
        </is>
      </c>
      <c r="D4899" s="12" t="inlineStr">
        <is>
          <t>Analog instrument to JB JB-RICE-4-AI01: 20 x 1 pr (field cables)</t>
        </is>
      </c>
      <c r="E4899" s="12" t="inlineStr">
        <is>
          <t>RICE-4</t>
        </is>
      </c>
      <c r="F4899" s="12" t="inlineStr">
        <is>
          <t>RICE engine-generator 4</t>
        </is>
      </c>
      <c r="G4899" s="12" t="inlineStr">
        <is>
          <t>JB-RICE-4-AI01</t>
        </is>
      </c>
      <c r="H4899" s="12" t="inlineStr">
        <is>
          <t>RICE engine-generator 4</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I-I-0286</t>
        </is>
      </c>
      <c r="B4900" s="12" t="inlineStr">
        <is>
          <t>I</t>
        </is>
      </c>
      <c r="C4900" s="12" t="inlineStr">
        <is>
          <t>Modular / portable power</t>
        </is>
      </c>
      <c r="D4900" s="12" t="inlineStr">
        <is>
          <t>Home run JB-RICE-4-AI01 to the control / marshalling room</t>
        </is>
      </c>
      <c r="E4900" s="12" t="inlineStr"/>
      <c r="F4900" s="12" t="inlineStr">
        <is>
          <t>PCM: power control module</t>
        </is>
      </c>
      <c r="G4900" s="12" t="inlineStr">
        <is>
          <t>JB-RICE-4-AI01</t>
        </is>
      </c>
      <c r="H4900" s="12" t="inlineStr">
        <is>
          <t>RICE engine-generator 4</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I-I-0287</t>
        </is>
      </c>
      <c r="B4901" s="12" t="inlineStr">
        <is>
          <t>I</t>
        </is>
      </c>
      <c r="C4901" s="12" t="inlineStr">
        <is>
          <t>Modular / portable power</t>
        </is>
      </c>
      <c r="D4901" s="12" t="inlineStr">
        <is>
          <t>Analog instrument to JB JB-RICE-4-AI02: 20 x 1 pr (field cables)</t>
        </is>
      </c>
      <c r="E4901" s="12" t="inlineStr">
        <is>
          <t>RICE-4</t>
        </is>
      </c>
      <c r="F4901" s="12" t="inlineStr">
        <is>
          <t>RICE engine-generator 4</t>
        </is>
      </c>
      <c r="G4901" s="12" t="inlineStr">
        <is>
          <t>JB-RICE-4-AI02</t>
        </is>
      </c>
      <c r="H4901" s="12" t="inlineStr">
        <is>
          <t>RICE engine-generator 4</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I-I-0288</t>
        </is>
      </c>
      <c r="B4902" s="12" t="inlineStr">
        <is>
          <t>I</t>
        </is>
      </c>
      <c r="C4902" s="12" t="inlineStr">
        <is>
          <t>Modular / portable power</t>
        </is>
      </c>
      <c r="D4902" s="12" t="inlineStr">
        <is>
          <t>Home run JB-RICE-4-AI02 to the control / marshalling room</t>
        </is>
      </c>
      <c r="E4902" s="12" t="inlineStr"/>
      <c r="F4902" s="12" t="inlineStr">
        <is>
          <t>PCM: power control module</t>
        </is>
      </c>
      <c r="G4902" s="12" t="inlineStr">
        <is>
          <t>JB-RICE-4-AI02</t>
        </is>
      </c>
      <c r="H4902" s="12" t="inlineStr">
        <is>
          <t>RICE engine-generator 4</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I-I-0289</t>
        </is>
      </c>
      <c r="B4903" s="12" t="inlineStr">
        <is>
          <t>I</t>
        </is>
      </c>
      <c r="C4903" s="12" t="inlineStr">
        <is>
          <t>Modular / portable power</t>
        </is>
      </c>
      <c r="D4903" s="12" t="inlineStr">
        <is>
          <t>Analog instrument to JB JB-RICE-4-AI03: 20 x 1 pr (field cables)</t>
        </is>
      </c>
      <c r="E4903" s="12" t="inlineStr">
        <is>
          <t>RICE-4</t>
        </is>
      </c>
      <c r="F4903" s="12" t="inlineStr">
        <is>
          <t>RICE engine-generator 4</t>
        </is>
      </c>
      <c r="G4903" s="12" t="inlineStr">
        <is>
          <t>JB-RICE-4-AI03</t>
        </is>
      </c>
      <c r="H4903" s="12" t="inlineStr">
        <is>
          <t>RICE engine-generator 4</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I-I-0290</t>
        </is>
      </c>
      <c r="B4904" s="12" t="inlineStr">
        <is>
          <t>I</t>
        </is>
      </c>
      <c r="C4904" s="12" t="inlineStr">
        <is>
          <t>Modular / portable power</t>
        </is>
      </c>
      <c r="D4904" s="12" t="inlineStr">
        <is>
          <t>Home run JB-RICE-4-AI03 to the control / marshalling room</t>
        </is>
      </c>
      <c r="E4904" s="12" t="inlineStr"/>
      <c r="F4904" s="12" t="inlineStr">
        <is>
          <t>PCM: power control module</t>
        </is>
      </c>
      <c r="G4904" s="12" t="inlineStr">
        <is>
          <t>JB-RICE-4-AI03</t>
        </is>
      </c>
      <c r="H4904" s="12" t="inlineStr">
        <is>
          <t>RICE engine-generator 4</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I-I-0291</t>
        </is>
      </c>
      <c r="B4905" s="12" t="inlineStr">
        <is>
          <t>I</t>
        </is>
      </c>
      <c r="C4905" s="12" t="inlineStr">
        <is>
          <t>Modular / portable power</t>
        </is>
      </c>
      <c r="D4905" s="12" t="inlineStr">
        <is>
          <t>Analog instrument to JB JB-RICE-4-AI04: 20 x 1 pr (field cables)</t>
        </is>
      </c>
      <c r="E4905" s="12" t="inlineStr">
        <is>
          <t>RICE-4</t>
        </is>
      </c>
      <c r="F4905" s="12" t="inlineStr">
        <is>
          <t>RICE engine-generator 4</t>
        </is>
      </c>
      <c r="G4905" s="12" t="inlineStr">
        <is>
          <t>JB-RICE-4-AI04</t>
        </is>
      </c>
      <c r="H4905" s="12" t="inlineStr">
        <is>
          <t>RICE engine-generator 4</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I-I-0292</t>
        </is>
      </c>
      <c r="B4906" s="12" t="inlineStr">
        <is>
          <t>I</t>
        </is>
      </c>
      <c r="C4906" s="12" t="inlineStr">
        <is>
          <t>Modular / portable power</t>
        </is>
      </c>
      <c r="D4906" s="12" t="inlineStr">
        <is>
          <t>Home run JB-RICE-4-AI04 to the control / marshalling room</t>
        </is>
      </c>
      <c r="E4906" s="12" t="inlineStr"/>
      <c r="F4906" s="12" t="inlineStr">
        <is>
          <t>PCM: power control module</t>
        </is>
      </c>
      <c r="G4906" s="12" t="inlineStr">
        <is>
          <t>JB-RICE-4-AI04</t>
        </is>
      </c>
      <c r="H4906" s="12" t="inlineStr">
        <is>
          <t>RICE engine-generator 4</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516</v>
      </c>
      <c r="U4906" s="15" t="n">
        <v>53</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I-I-0293</t>
        </is>
      </c>
      <c r="B4907" s="12" t="inlineStr">
        <is>
          <t>I</t>
        </is>
      </c>
      <c r="C4907" s="12" t="inlineStr">
        <is>
          <t>Modular / portable power</t>
        </is>
      </c>
      <c r="D4907" s="12" t="inlineStr">
        <is>
          <t>Discrete device to JB JB-RICE-4-DI01: 20 x 1 pr (field cables)</t>
        </is>
      </c>
      <c r="E4907" s="12" t="inlineStr">
        <is>
          <t>RICE-4</t>
        </is>
      </c>
      <c r="F4907" s="12" t="inlineStr">
        <is>
          <t>RICE engine-generator 4</t>
        </is>
      </c>
      <c r="G4907" s="12" t="inlineStr">
        <is>
          <t>JB-RICE-4-DI01</t>
        </is>
      </c>
      <c r="H4907" s="12" t="inlineStr">
        <is>
          <t>RICE engine-generator 4</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I-I-0294</t>
        </is>
      </c>
      <c r="B4908" s="12" t="inlineStr">
        <is>
          <t>I</t>
        </is>
      </c>
      <c r="C4908" s="12" t="inlineStr">
        <is>
          <t>Modular / portable power</t>
        </is>
      </c>
      <c r="D4908" s="12" t="inlineStr">
        <is>
          <t>Home run JB-RICE-4-DI01 to the control / marshalling room</t>
        </is>
      </c>
      <c r="E4908" s="12" t="inlineStr"/>
      <c r="F4908" s="12" t="inlineStr">
        <is>
          <t>PCM: power control module</t>
        </is>
      </c>
      <c r="G4908" s="12" t="inlineStr">
        <is>
          <t>JB-RICE-4-DI01</t>
        </is>
      </c>
      <c r="H4908" s="12" t="inlineStr">
        <is>
          <t>RICE engine-generator 4</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516</v>
      </c>
      <c r="U4908" s="15" t="n">
        <v>53</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I-I-0295</t>
        </is>
      </c>
      <c r="B4909" s="12" t="inlineStr">
        <is>
          <t>I</t>
        </is>
      </c>
      <c r="C4909" s="12" t="inlineStr">
        <is>
          <t>Modular / portable power</t>
        </is>
      </c>
      <c r="D4909" s="12" t="inlineStr">
        <is>
          <t>Discrete device to JB JB-RICE-4-DI02: 20 x 1 pr (field cables)</t>
        </is>
      </c>
      <c r="E4909" s="12" t="inlineStr">
        <is>
          <t>RICE-4</t>
        </is>
      </c>
      <c r="F4909" s="12" t="inlineStr">
        <is>
          <t>RICE engine-generator 4</t>
        </is>
      </c>
      <c r="G4909" s="12" t="inlineStr">
        <is>
          <t>JB-RICE-4-DI02</t>
        </is>
      </c>
      <c r="H4909" s="12" t="inlineStr">
        <is>
          <t>RICE engine-generator 4</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I-I-0296</t>
        </is>
      </c>
      <c r="B4910" s="12" t="inlineStr">
        <is>
          <t>I</t>
        </is>
      </c>
      <c r="C4910" s="12" t="inlineStr">
        <is>
          <t>Modular / portable power</t>
        </is>
      </c>
      <c r="D4910" s="12" t="inlineStr">
        <is>
          <t>Home run JB-RICE-4-DI02 to the control / marshalling room</t>
        </is>
      </c>
      <c r="E4910" s="12" t="inlineStr"/>
      <c r="F4910" s="12" t="inlineStr">
        <is>
          <t>PCM: power control module</t>
        </is>
      </c>
      <c r="G4910" s="12" t="inlineStr">
        <is>
          <t>JB-RICE-4-DI02</t>
        </is>
      </c>
      <c r="H4910" s="12" t="inlineStr">
        <is>
          <t>RICE engine-generator 4</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516</v>
      </c>
      <c r="U4910" s="15" t="n">
        <v>53</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I-I-0297</t>
        </is>
      </c>
      <c r="B4911" s="12" t="inlineStr">
        <is>
          <t>I</t>
        </is>
      </c>
      <c r="C4911" s="12" t="inlineStr">
        <is>
          <t>Modular / portable power</t>
        </is>
      </c>
      <c r="D4911" s="12" t="inlineStr">
        <is>
          <t>Discrete device to JB JB-RICE-4-DI03: 20 x 1 pr (field cables)</t>
        </is>
      </c>
      <c r="E4911" s="12" t="inlineStr">
        <is>
          <t>RICE-4</t>
        </is>
      </c>
      <c r="F4911" s="12" t="inlineStr">
        <is>
          <t>RICE engine-generator 4</t>
        </is>
      </c>
      <c r="G4911" s="12" t="inlineStr">
        <is>
          <t>JB-RICE-4-DI03</t>
        </is>
      </c>
      <c r="H4911" s="12" t="inlineStr">
        <is>
          <t>RICE engine-generator 4</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I-I-0298</t>
        </is>
      </c>
      <c r="B4912" s="12" t="inlineStr">
        <is>
          <t>I</t>
        </is>
      </c>
      <c r="C4912" s="12" t="inlineStr">
        <is>
          <t>Modular / portable power</t>
        </is>
      </c>
      <c r="D4912" s="12" t="inlineStr">
        <is>
          <t>Home run JB-RICE-4-DI03 to the control / marshalling room</t>
        </is>
      </c>
      <c r="E4912" s="12" t="inlineStr"/>
      <c r="F4912" s="12" t="inlineStr">
        <is>
          <t>PCM: power control module</t>
        </is>
      </c>
      <c r="G4912" s="12" t="inlineStr">
        <is>
          <t>JB-RICE-4-DI03</t>
        </is>
      </c>
      <c r="H4912" s="12" t="inlineStr">
        <is>
          <t>RICE engine-generator 4</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516</v>
      </c>
      <c r="U4912" s="15" t="n">
        <v>53</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I-I-0299</t>
        </is>
      </c>
      <c r="B4913" s="12" t="inlineStr">
        <is>
          <t>I</t>
        </is>
      </c>
      <c r="C4913" s="12" t="inlineStr">
        <is>
          <t>Modular / portable power</t>
        </is>
      </c>
      <c r="D4913" s="12" t="inlineStr">
        <is>
          <t>Thermocouple to TC JB JB-RICE-4-TC01: 20 x 1 pr (field cables)</t>
        </is>
      </c>
      <c r="E4913" s="12" t="inlineStr">
        <is>
          <t>RICE-4</t>
        </is>
      </c>
      <c r="F4913" s="12" t="inlineStr">
        <is>
          <t>RICE engine-generator 4</t>
        </is>
      </c>
      <c r="G4913" s="12" t="inlineStr">
        <is>
          <t>JB-RICE-4-TC01</t>
        </is>
      </c>
      <c r="H4913" s="12" t="inlineStr">
        <is>
          <t>RICE engine-generator 4</t>
        </is>
      </c>
      <c r="I4913" s="12" t="inlineStr">
        <is>
          <t>Instrumentation</t>
        </is>
      </c>
      <c r="J4913" s="12" t="inlineStr">
        <is>
          <t>Thermocouple extension KX, #16 shielded pairs, PLTC</t>
        </is>
      </c>
      <c r="K4913" s="12" t="inlineStr">
        <is>
          <t>TCX|1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I-I-0300</t>
        </is>
      </c>
      <c r="B4914" s="12" t="inlineStr">
        <is>
          <t>I</t>
        </is>
      </c>
      <c r="C4914" s="12" t="inlineStr">
        <is>
          <t>Modular / portable power</t>
        </is>
      </c>
      <c r="D4914" s="12" t="inlineStr">
        <is>
          <t>Home run JB-RICE-4-TC01 to the control / marshalling room</t>
        </is>
      </c>
      <c r="E4914" s="12" t="inlineStr"/>
      <c r="F4914" s="12" t="inlineStr">
        <is>
          <t>PCM: power control module</t>
        </is>
      </c>
      <c r="G4914" s="12" t="inlineStr">
        <is>
          <t>JB-RICE-4-TC01</t>
        </is>
      </c>
      <c r="H4914" s="12" t="inlineStr">
        <is>
          <t>RICE engine-generator 4</t>
        </is>
      </c>
      <c r="I4914" s="12" t="inlineStr">
        <is>
          <t>Instrumentation</t>
        </is>
      </c>
      <c r="J4914" s="12" t="inlineStr">
        <is>
          <t>Thermocouple extension KX, #16 shielded pairs, PLTC</t>
        </is>
      </c>
      <c r="K4914" s="12" t="inlineStr">
        <is>
          <t>TCX|24 pr|16</t>
        </is>
      </c>
      <c r="L4914" s="12" t="inlineStr">
        <is>
          <t>24 pr</t>
        </is>
      </c>
      <c r="M4914" s="12" t="inlineStr">
        <is>
          <t>16</t>
        </is>
      </c>
      <c r="N4914" s="12" t="n">
        <v>1</v>
      </c>
      <c r="O4914" s="12" t="n">
        <v>1</v>
      </c>
      <c r="P4914" s="12" t="n"/>
      <c r="Q4914" s="12" t="n"/>
      <c r="R4914" s="12" t="n"/>
      <c r="S4914" s="12" t="inlineStr">
        <is>
          <t>Duct bank</t>
        </is>
      </c>
      <c r="T4914" s="15" t="n">
        <v>516</v>
      </c>
      <c r="U4914" s="15" t="n">
        <v>53</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I-I-0301</t>
        </is>
      </c>
      <c r="B4915" s="12" t="inlineStr">
        <is>
          <t>I</t>
        </is>
      </c>
      <c r="C4915" s="12" t="inlineStr">
        <is>
          <t>Modular / portable power</t>
        </is>
      </c>
      <c r="D4915" s="12" t="inlineStr">
        <is>
          <t>Thermocouple to TC JB JB-RICE-4-TC02: 10 x 1 pr (field cables)</t>
        </is>
      </c>
      <c r="E4915" s="12" t="inlineStr">
        <is>
          <t>RICE-4</t>
        </is>
      </c>
      <c r="F4915" s="12" t="inlineStr">
        <is>
          <t>RICE engine-generator 4</t>
        </is>
      </c>
      <c r="G4915" s="12" t="inlineStr">
        <is>
          <t>JB-RICE-4-TC02</t>
        </is>
      </c>
      <c r="H4915" s="12" t="inlineStr">
        <is>
          <t>RICE engine-generator 4</t>
        </is>
      </c>
      <c r="I4915" s="12" t="inlineStr">
        <is>
          <t>Instrumentation</t>
        </is>
      </c>
      <c r="J4915" s="12" t="inlineStr">
        <is>
          <t>Thermocouple extension KX, #16 shielded pairs, PLTC</t>
        </is>
      </c>
      <c r="K4915" s="12" t="inlineStr">
        <is>
          <t>TCX|1 pr|16</t>
        </is>
      </c>
      <c r="L4915" s="12" t="inlineStr">
        <is>
          <t>1 pr</t>
        </is>
      </c>
      <c r="M4915" s="12" t="inlineStr">
        <is>
          <t>16</t>
        </is>
      </c>
      <c r="N4915" s="12" t="n">
        <v>10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I-I-0302</t>
        </is>
      </c>
      <c r="B4916" s="12" t="inlineStr">
        <is>
          <t>I</t>
        </is>
      </c>
      <c r="C4916" s="12" t="inlineStr">
        <is>
          <t>Modular / portable power</t>
        </is>
      </c>
      <c r="D4916" s="12" t="inlineStr">
        <is>
          <t>Home run JB-RICE-4-TC02 to the control / marshalling room</t>
        </is>
      </c>
      <c r="E4916" s="12" t="inlineStr"/>
      <c r="F4916" s="12" t="inlineStr">
        <is>
          <t>PCM: power control module</t>
        </is>
      </c>
      <c r="G4916" s="12" t="inlineStr">
        <is>
          <t>JB-RICE-4-TC02</t>
        </is>
      </c>
      <c r="H4916" s="12" t="inlineStr">
        <is>
          <t>RICE engine-generator 4</t>
        </is>
      </c>
      <c r="I4916" s="12" t="inlineStr">
        <is>
          <t>Instrumentation</t>
        </is>
      </c>
      <c r="J4916" s="12" t="inlineStr">
        <is>
          <t>Thermocouple extension KX, #16 shielded pairs, PLTC</t>
        </is>
      </c>
      <c r="K4916" s="12" t="inlineStr">
        <is>
          <t>TCX|24 pr|16</t>
        </is>
      </c>
      <c r="L4916" s="12" t="inlineStr">
        <is>
          <t>24 pr</t>
        </is>
      </c>
      <c r="M4916" s="12" t="inlineStr">
        <is>
          <t>16</t>
        </is>
      </c>
      <c r="N4916" s="12" t="n">
        <v>1</v>
      </c>
      <c r="O4916" s="12" t="n">
        <v>1</v>
      </c>
      <c r="P4916" s="12" t="n"/>
      <c r="Q4916" s="12" t="n"/>
      <c r="R4916" s="12" t="n"/>
      <c r="S4916" s="12" t="inlineStr">
        <is>
          <t>Duct bank</t>
        </is>
      </c>
      <c r="T4916" s="15" t="n">
        <v>516</v>
      </c>
      <c r="U4916" s="15" t="n">
        <v>53</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I-I-0303</t>
        </is>
      </c>
      <c r="B4917" s="12" t="inlineStr">
        <is>
          <t>I</t>
        </is>
      </c>
      <c r="C4917" s="12" t="inlineStr">
        <is>
          <t>Modular / portable power</t>
        </is>
      </c>
      <c r="D4917" s="12" t="inlineStr">
        <is>
          <t>RTD to JB JB-RICE-4-RTD01: 10 x 1 tri (field cables)</t>
        </is>
      </c>
      <c r="E4917" s="12" t="inlineStr">
        <is>
          <t>RICE-4</t>
        </is>
      </c>
      <c r="F4917" s="12" t="inlineStr">
        <is>
          <t>RICE engine-generator 4</t>
        </is>
      </c>
      <c r="G4917" s="12" t="inlineStr">
        <is>
          <t>JB-RICE-4-RTD01</t>
        </is>
      </c>
      <c r="H4917" s="12" t="inlineStr">
        <is>
          <t>RICE engine-generator 4</t>
        </is>
      </c>
      <c r="I4917" s="12" t="inlineStr">
        <is>
          <t>Instrumentation</t>
        </is>
      </c>
      <c r="J4917" s="12" t="inlineStr">
        <is>
          <t>RTD cable, #18 shielded triads, PLTC</t>
        </is>
      </c>
      <c r="K4917" s="12" t="inlineStr">
        <is>
          <t>RTD|1 tri|18</t>
        </is>
      </c>
      <c r="L4917" s="12" t="inlineStr">
        <is>
          <t>1 tri</t>
        </is>
      </c>
      <c r="M4917" s="12" t="inlineStr">
        <is>
          <t>18</t>
        </is>
      </c>
      <c r="N4917" s="12" t="n">
        <v>10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I-I-0304</t>
        </is>
      </c>
      <c r="B4918" s="12" t="inlineStr">
        <is>
          <t>I</t>
        </is>
      </c>
      <c r="C4918" s="12" t="inlineStr">
        <is>
          <t>Modular / portable power</t>
        </is>
      </c>
      <c r="D4918" s="12" t="inlineStr">
        <is>
          <t>Home run JB-RICE-4-RTD01 to the control / marshalling room</t>
        </is>
      </c>
      <c r="E4918" s="12" t="inlineStr"/>
      <c r="F4918" s="12" t="inlineStr">
        <is>
          <t>PCM: power control module</t>
        </is>
      </c>
      <c r="G4918" s="12" t="inlineStr">
        <is>
          <t>JB-RICE-4-RTD01</t>
        </is>
      </c>
      <c r="H4918" s="12" t="inlineStr">
        <is>
          <t>RICE engine-generator 4</t>
        </is>
      </c>
      <c r="I4918" s="12" t="inlineStr">
        <is>
          <t>Instrumentation</t>
        </is>
      </c>
      <c r="J4918" s="12" t="inlineStr">
        <is>
          <t>RTD cable, #18 shielded triads, PLTC</t>
        </is>
      </c>
      <c r="K4918" s="12" t="inlineStr">
        <is>
          <t>RTD|12 tri|18</t>
        </is>
      </c>
      <c r="L4918" s="12" t="inlineStr">
        <is>
          <t>12 tri</t>
        </is>
      </c>
      <c r="M4918" s="12" t="inlineStr">
        <is>
          <t>18</t>
        </is>
      </c>
      <c r="N4918" s="12" t="n">
        <v>1</v>
      </c>
      <c r="O4918" s="12" t="n">
        <v>1</v>
      </c>
      <c r="P4918" s="12" t="n"/>
      <c r="Q4918" s="12" t="n"/>
      <c r="R4918" s="12" t="n"/>
      <c r="S4918" s="12" t="inlineStr">
        <is>
          <t>Duct bank</t>
        </is>
      </c>
      <c r="T4918" s="15" t="n">
        <v>516</v>
      </c>
      <c r="U4918" s="15" t="n">
        <v>53</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I-I-0305</t>
        </is>
      </c>
      <c r="B4919" s="12" t="inlineStr">
        <is>
          <t>I</t>
        </is>
      </c>
      <c r="C4919" s="12" t="inlineStr">
        <is>
          <t>Modular / portable power</t>
        </is>
      </c>
      <c r="D4919" s="12" t="inlineStr">
        <is>
          <t>RTD to JB JB-RICE-4-RTD02: 2 x 1 tri (field cables)</t>
        </is>
      </c>
      <c r="E4919" s="12" t="inlineStr">
        <is>
          <t>RICE-4</t>
        </is>
      </c>
      <c r="F4919" s="12" t="inlineStr">
        <is>
          <t>RICE engine-generator 4</t>
        </is>
      </c>
      <c r="G4919" s="12" t="inlineStr">
        <is>
          <t>JB-RICE-4-RTD02</t>
        </is>
      </c>
      <c r="H4919" s="12" t="inlineStr">
        <is>
          <t>RICE engine-generator 4</t>
        </is>
      </c>
      <c r="I4919" s="12" t="inlineStr">
        <is>
          <t>Instrumentation</t>
        </is>
      </c>
      <c r="J4919" s="12" t="inlineStr">
        <is>
          <t>RTD cable, #18 shielded triads, PLTC</t>
        </is>
      </c>
      <c r="K4919" s="12" t="inlineStr">
        <is>
          <t>RTD|1 tri|18</t>
        </is>
      </c>
      <c r="L4919" s="12" t="inlineStr">
        <is>
          <t>1 tri</t>
        </is>
      </c>
      <c r="M4919" s="12" t="inlineStr">
        <is>
          <t>18</t>
        </is>
      </c>
      <c r="N4919" s="12" t="n">
        <v>2</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I-I-0306</t>
        </is>
      </c>
      <c r="B4920" s="12" t="inlineStr">
        <is>
          <t>I</t>
        </is>
      </c>
      <c r="C4920" s="12" t="inlineStr">
        <is>
          <t>Modular / portable power</t>
        </is>
      </c>
      <c r="D4920" s="12" t="inlineStr">
        <is>
          <t>Home run JB-RICE-4-RTD02 to the control / marshalling room</t>
        </is>
      </c>
      <c r="E4920" s="12" t="inlineStr"/>
      <c r="F4920" s="12" t="inlineStr">
        <is>
          <t>PCM: power control module</t>
        </is>
      </c>
      <c r="G4920" s="12" t="inlineStr">
        <is>
          <t>JB-RICE-4-RTD02</t>
        </is>
      </c>
      <c r="H4920" s="12" t="inlineStr">
        <is>
          <t>RICE engine-generator 4</t>
        </is>
      </c>
      <c r="I4920" s="12" t="inlineStr">
        <is>
          <t>Instrumentation</t>
        </is>
      </c>
      <c r="J4920" s="12" t="inlineStr">
        <is>
          <t>RTD cable, #18 shielded triads, PLTC</t>
        </is>
      </c>
      <c r="K4920" s="12" t="inlineStr">
        <is>
          <t>RTD|12 tri|18</t>
        </is>
      </c>
      <c r="L4920" s="12" t="inlineStr">
        <is>
          <t>12 tri</t>
        </is>
      </c>
      <c r="M4920" s="12" t="inlineStr">
        <is>
          <t>18</t>
        </is>
      </c>
      <c r="N4920" s="12" t="n">
        <v>1</v>
      </c>
      <c r="O4920" s="12" t="n">
        <v>1</v>
      </c>
      <c r="P4920" s="12" t="n"/>
      <c r="Q4920" s="12" t="n"/>
      <c r="R4920" s="12" t="n"/>
      <c r="S4920" s="12" t="inlineStr">
        <is>
          <t>Duct bank</t>
        </is>
      </c>
      <c r="T4920" s="15" t="n">
        <v>516</v>
      </c>
      <c r="U4920" s="15" t="n">
        <v>53</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I-I-0307</t>
        </is>
      </c>
      <c r="B4921" s="12" t="inlineStr">
        <is>
          <t>I</t>
        </is>
      </c>
      <c r="C4921" s="12" t="inlineStr">
        <is>
          <t>Modular / portable power</t>
        </is>
      </c>
      <c r="D4921" s="12" t="inlineStr">
        <is>
          <t>Analog instrument to JB JB-RICE-5-AI01: 20 x 1 pr (field cables)</t>
        </is>
      </c>
      <c r="E4921" s="12" t="inlineStr">
        <is>
          <t>RICE-5</t>
        </is>
      </c>
      <c r="F4921" s="12" t="inlineStr">
        <is>
          <t>RICE engine-generator 5</t>
        </is>
      </c>
      <c r="G4921" s="12" t="inlineStr">
        <is>
          <t>JB-RICE-5-AI01</t>
        </is>
      </c>
      <c r="H4921" s="12" t="inlineStr">
        <is>
          <t>RICE engine-generator 5</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I-I-0308</t>
        </is>
      </c>
      <c r="B4922" s="12" t="inlineStr">
        <is>
          <t>I</t>
        </is>
      </c>
      <c r="C4922" s="12" t="inlineStr">
        <is>
          <t>Modular / portable power</t>
        </is>
      </c>
      <c r="D4922" s="12" t="inlineStr">
        <is>
          <t>Home run JB-RICE-5-AI01 to the control / marshalling room</t>
        </is>
      </c>
      <c r="E4922" s="12" t="inlineStr"/>
      <c r="F4922" s="12" t="inlineStr">
        <is>
          <t>PCM: power control module</t>
        </is>
      </c>
      <c r="G4922" s="12" t="inlineStr">
        <is>
          <t>JB-RICE-5-AI01</t>
        </is>
      </c>
      <c r="H4922" s="12" t="inlineStr">
        <is>
          <t>RICE engine-generator 5</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I-I-0309</t>
        </is>
      </c>
      <c r="B4923" s="12" t="inlineStr">
        <is>
          <t>I</t>
        </is>
      </c>
      <c r="C4923" s="12" t="inlineStr">
        <is>
          <t>Modular / portable power</t>
        </is>
      </c>
      <c r="D4923" s="12" t="inlineStr">
        <is>
          <t>Analog instrument to JB JB-RICE-5-AI02: 20 x 1 pr (field cables)</t>
        </is>
      </c>
      <c r="E4923" s="12" t="inlineStr">
        <is>
          <t>RICE-5</t>
        </is>
      </c>
      <c r="F4923" s="12" t="inlineStr">
        <is>
          <t>RICE engine-generator 5</t>
        </is>
      </c>
      <c r="G4923" s="12" t="inlineStr">
        <is>
          <t>JB-RICE-5-AI02</t>
        </is>
      </c>
      <c r="H4923" s="12" t="inlineStr">
        <is>
          <t>RICE engine-generator 5</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I-I-0310</t>
        </is>
      </c>
      <c r="B4924" s="12" t="inlineStr">
        <is>
          <t>I</t>
        </is>
      </c>
      <c r="C4924" s="12" t="inlineStr">
        <is>
          <t>Modular / portable power</t>
        </is>
      </c>
      <c r="D4924" s="12" t="inlineStr">
        <is>
          <t>Home run JB-RICE-5-AI02 to the control / marshalling room</t>
        </is>
      </c>
      <c r="E4924" s="12" t="inlineStr"/>
      <c r="F4924" s="12" t="inlineStr">
        <is>
          <t>PCM: power control module</t>
        </is>
      </c>
      <c r="G4924" s="12" t="inlineStr">
        <is>
          <t>JB-RICE-5-AI02</t>
        </is>
      </c>
      <c r="H4924" s="12" t="inlineStr">
        <is>
          <t>RICE engine-generator 5</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I-I-0311</t>
        </is>
      </c>
      <c r="B4925" s="12" t="inlineStr">
        <is>
          <t>I</t>
        </is>
      </c>
      <c r="C4925" s="12" t="inlineStr">
        <is>
          <t>Modular / portable power</t>
        </is>
      </c>
      <c r="D4925" s="12" t="inlineStr">
        <is>
          <t>Analog instrument to JB JB-RICE-5-AI03: 20 x 1 pr (field cables)</t>
        </is>
      </c>
      <c r="E4925" s="12" t="inlineStr">
        <is>
          <t>RICE-5</t>
        </is>
      </c>
      <c r="F4925" s="12" t="inlineStr">
        <is>
          <t>RICE engine-generator 5</t>
        </is>
      </c>
      <c r="G4925" s="12" t="inlineStr">
        <is>
          <t>JB-RICE-5-AI03</t>
        </is>
      </c>
      <c r="H4925" s="12" t="inlineStr">
        <is>
          <t>RICE engine-generator 5</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I-I-0312</t>
        </is>
      </c>
      <c r="B4926" s="12" t="inlineStr">
        <is>
          <t>I</t>
        </is>
      </c>
      <c r="C4926" s="12" t="inlineStr">
        <is>
          <t>Modular / portable power</t>
        </is>
      </c>
      <c r="D4926" s="12" t="inlineStr">
        <is>
          <t>Home run JB-RICE-5-AI03 to the control / marshalling room</t>
        </is>
      </c>
      <c r="E4926" s="12" t="inlineStr"/>
      <c r="F4926" s="12" t="inlineStr">
        <is>
          <t>PCM: power control module</t>
        </is>
      </c>
      <c r="G4926" s="12" t="inlineStr">
        <is>
          <t>JB-RICE-5-AI03</t>
        </is>
      </c>
      <c r="H4926" s="12" t="inlineStr">
        <is>
          <t>RICE engine-generator 5</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I-I-0313</t>
        </is>
      </c>
      <c r="B4927" s="12" t="inlineStr">
        <is>
          <t>I</t>
        </is>
      </c>
      <c r="C4927" s="12" t="inlineStr">
        <is>
          <t>Modular / portable power</t>
        </is>
      </c>
      <c r="D4927" s="12" t="inlineStr">
        <is>
          <t>Analog instrument to JB JB-RICE-5-AI04: 20 x 1 pr (field cables)</t>
        </is>
      </c>
      <c r="E4927" s="12" t="inlineStr">
        <is>
          <t>RICE-5</t>
        </is>
      </c>
      <c r="F4927" s="12" t="inlineStr">
        <is>
          <t>RICE engine-generator 5</t>
        </is>
      </c>
      <c r="G4927" s="12" t="inlineStr">
        <is>
          <t>JB-RICE-5-AI04</t>
        </is>
      </c>
      <c r="H4927" s="12" t="inlineStr">
        <is>
          <t>RICE engine-generator 5</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I-I-0314</t>
        </is>
      </c>
      <c r="B4928" s="12" t="inlineStr">
        <is>
          <t>I</t>
        </is>
      </c>
      <c r="C4928" s="12" t="inlineStr">
        <is>
          <t>Modular / portable power</t>
        </is>
      </c>
      <c r="D4928" s="12" t="inlineStr">
        <is>
          <t>Home run JB-RICE-5-AI04 to the control / marshalling room</t>
        </is>
      </c>
      <c r="E4928" s="12" t="inlineStr"/>
      <c r="F4928" s="12" t="inlineStr">
        <is>
          <t>PCM: power control module</t>
        </is>
      </c>
      <c r="G4928" s="12" t="inlineStr">
        <is>
          <t>JB-RICE-5-AI04</t>
        </is>
      </c>
      <c r="H4928" s="12" t="inlineStr">
        <is>
          <t>RICE engine-generator 5</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181</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I-I-0315</t>
        </is>
      </c>
      <c r="B4929" s="12" t="inlineStr">
        <is>
          <t>I</t>
        </is>
      </c>
      <c r="C4929" s="12" t="inlineStr">
        <is>
          <t>Modular / portable power</t>
        </is>
      </c>
      <c r="D4929" s="12" t="inlineStr">
        <is>
          <t>Discrete device to JB JB-RICE-5-DI01: 20 x 1 pr (field cables)</t>
        </is>
      </c>
      <c r="E4929" s="12" t="inlineStr">
        <is>
          <t>RICE-5</t>
        </is>
      </c>
      <c r="F4929" s="12" t="inlineStr">
        <is>
          <t>RICE engine-generator 5</t>
        </is>
      </c>
      <c r="G4929" s="12" t="inlineStr">
        <is>
          <t>JB-RICE-5-DI01</t>
        </is>
      </c>
      <c r="H4929" s="12" t="inlineStr">
        <is>
          <t>RICE engine-generator 5</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I-I-0316</t>
        </is>
      </c>
      <c r="B4930" s="12" t="inlineStr">
        <is>
          <t>I</t>
        </is>
      </c>
      <c r="C4930" s="12" t="inlineStr">
        <is>
          <t>Modular / portable power</t>
        </is>
      </c>
      <c r="D4930" s="12" t="inlineStr">
        <is>
          <t>Home run JB-RICE-5-DI01 to the control / marshalling room</t>
        </is>
      </c>
      <c r="E4930" s="12" t="inlineStr"/>
      <c r="F4930" s="12" t="inlineStr">
        <is>
          <t>PCM: power control module</t>
        </is>
      </c>
      <c r="G4930" s="12" t="inlineStr">
        <is>
          <t>JB-RICE-5-DI01</t>
        </is>
      </c>
      <c r="H4930" s="12" t="inlineStr">
        <is>
          <t>RICE engine-generator 5</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181</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I-I-0317</t>
        </is>
      </c>
      <c r="B4931" s="12" t="inlineStr">
        <is>
          <t>I</t>
        </is>
      </c>
      <c r="C4931" s="12" t="inlineStr">
        <is>
          <t>Modular / portable power</t>
        </is>
      </c>
      <c r="D4931" s="12" t="inlineStr">
        <is>
          <t>Discrete device to JB JB-RICE-5-DI02: 20 x 1 pr (field cables)</t>
        </is>
      </c>
      <c r="E4931" s="12" t="inlineStr">
        <is>
          <t>RICE-5</t>
        </is>
      </c>
      <c r="F4931" s="12" t="inlineStr">
        <is>
          <t>RICE engine-generator 5</t>
        </is>
      </c>
      <c r="G4931" s="12" t="inlineStr">
        <is>
          <t>JB-RICE-5-DI02</t>
        </is>
      </c>
      <c r="H4931" s="12" t="inlineStr">
        <is>
          <t>RICE engine-generator 5</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I-I-0318</t>
        </is>
      </c>
      <c r="B4932" s="12" t="inlineStr">
        <is>
          <t>I</t>
        </is>
      </c>
      <c r="C4932" s="12" t="inlineStr">
        <is>
          <t>Modular / portable power</t>
        </is>
      </c>
      <c r="D4932" s="12" t="inlineStr">
        <is>
          <t>Home run JB-RICE-5-DI02 to the control / marshalling room</t>
        </is>
      </c>
      <c r="E4932" s="12" t="inlineStr"/>
      <c r="F4932" s="12" t="inlineStr">
        <is>
          <t>PCM: power control module</t>
        </is>
      </c>
      <c r="G4932" s="12" t="inlineStr">
        <is>
          <t>JB-RICE-5-DI02</t>
        </is>
      </c>
      <c r="H4932" s="12" t="inlineStr">
        <is>
          <t>RICE engine-generator 5</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181</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I-I-0319</t>
        </is>
      </c>
      <c r="B4933" s="12" t="inlineStr">
        <is>
          <t>I</t>
        </is>
      </c>
      <c r="C4933" s="12" t="inlineStr">
        <is>
          <t>Modular / portable power</t>
        </is>
      </c>
      <c r="D4933" s="12" t="inlineStr">
        <is>
          <t>Discrete device to JB JB-RICE-5-DI03: 20 x 1 pr (field cables)</t>
        </is>
      </c>
      <c r="E4933" s="12" t="inlineStr">
        <is>
          <t>RICE-5</t>
        </is>
      </c>
      <c r="F4933" s="12" t="inlineStr">
        <is>
          <t>RICE engine-generator 5</t>
        </is>
      </c>
      <c r="G4933" s="12" t="inlineStr">
        <is>
          <t>JB-RICE-5-DI03</t>
        </is>
      </c>
      <c r="H4933" s="12" t="inlineStr">
        <is>
          <t>RICE engine-generator 5</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I-I-0320</t>
        </is>
      </c>
      <c r="B4934" s="12" t="inlineStr">
        <is>
          <t>I</t>
        </is>
      </c>
      <c r="C4934" s="12" t="inlineStr">
        <is>
          <t>Modular / portable power</t>
        </is>
      </c>
      <c r="D4934" s="12" t="inlineStr">
        <is>
          <t>Home run JB-RICE-5-DI03 to the control / marshalling room</t>
        </is>
      </c>
      <c r="E4934" s="12" t="inlineStr"/>
      <c r="F4934" s="12" t="inlineStr">
        <is>
          <t>PCM: power control module</t>
        </is>
      </c>
      <c r="G4934" s="12" t="inlineStr">
        <is>
          <t>JB-RICE-5-DI03</t>
        </is>
      </c>
      <c r="H4934" s="12" t="inlineStr">
        <is>
          <t>RICE engine-generator 5</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181</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I-I-0321</t>
        </is>
      </c>
      <c r="B4935" s="12" t="inlineStr">
        <is>
          <t>I</t>
        </is>
      </c>
      <c r="C4935" s="12" t="inlineStr">
        <is>
          <t>Modular / portable power</t>
        </is>
      </c>
      <c r="D4935" s="12" t="inlineStr">
        <is>
          <t>Thermocouple to TC JB JB-RICE-5-TC01: 20 x 1 pr (field cables)</t>
        </is>
      </c>
      <c r="E4935" s="12" t="inlineStr">
        <is>
          <t>RICE-5</t>
        </is>
      </c>
      <c r="F4935" s="12" t="inlineStr">
        <is>
          <t>RICE engine-generator 5</t>
        </is>
      </c>
      <c r="G4935" s="12" t="inlineStr">
        <is>
          <t>JB-RICE-5-TC01</t>
        </is>
      </c>
      <c r="H4935" s="12" t="inlineStr">
        <is>
          <t>RICE engine-generator 5</t>
        </is>
      </c>
      <c r="I4935" s="12" t="inlineStr">
        <is>
          <t>Instrumentation</t>
        </is>
      </c>
      <c r="J4935" s="12" t="inlineStr">
        <is>
          <t>Thermocouple extension KX, #16 shielded pairs, PLTC</t>
        </is>
      </c>
      <c r="K4935" s="12" t="inlineStr">
        <is>
          <t>TCX|1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I-I-0322</t>
        </is>
      </c>
      <c r="B4936" s="12" t="inlineStr">
        <is>
          <t>I</t>
        </is>
      </c>
      <c r="C4936" s="12" t="inlineStr">
        <is>
          <t>Modular / portable power</t>
        </is>
      </c>
      <c r="D4936" s="12" t="inlineStr">
        <is>
          <t>Home run JB-RICE-5-TC01 to the control / marshalling room</t>
        </is>
      </c>
      <c r="E4936" s="12" t="inlineStr"/>
      <c r="F4936" s="12" t="inlineStr">
        <is>
          <t>PCM: power control module</t>
        </is>
      </c>
      <c r="G4936" s="12" t="inlineStr">
        <is>
          <t>JB-RICE-5-TC01</t>
        </is>
      </c>
      <c r="H4936" s="12" t="inlineStr">
        <is>
          <t>RICE engine-generator 5</t>
        </is>
      </c>
      <c r="I4936" s="12" t="inlineStr">
        <is>
          <t>Instrumentation</t>
        </is>
      </c>
      <c r="J4936" s="12" t="inlineStr">
        <is>
          <t>Thermocouple extension KX, #16 shielded pairs, PLTC</t>
        </is>
      </c>
      <c r="K4936" s="12" t="inlineStr">
        <is>
          <t>TCX|24 pr|16</t>
        </is>
      </c>
      <c r="L4936" s="12" t="inlineStr">
        <is>
          <t>24 pr</t>
        </is>
      </c>
      <c r="M4936" s="12" t="inlineStr">
        <is>
          <t>16</t>
        </is>
      </c>
      <c r="N4936" s="12" t="n">
        <v>1</v>
      </c>
      <c r="O4936" s="12" t="n">
        <v>1</v>
      </c>
      <c r="P4936" s="12" t="n"/>
      <c r="Q4936" s="12" t="n"/>
      <c r="R4936" s="12" t="n"/>
      <c r="S4936" s="12" t="inlineStr">
        <is>
          <t>Duct bank</t>
        </is>
      </c>
      <c r="T4936" s="15" t="n">
        <v>57</v>
      </c>
      <c r="U4936" s="15" t="n">
        <v>181</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I-I-0323</t>
        </is>
      </c>
      <c r="B4937" s="12" t="inlineStr">
        <is>
          <t>I</t>
        </is>
      </c>
      <c r="C4937" s="12" t="inlineStr">
        <is>
          <t>Modular / portable power</t>
        </is>
      </c>
      <c r="D4937" s="12" t="inlineStr">
        <is>
          <t>Thermocouple to TC JB JB-RICE-5-TC02: 10 x 1 pr (field cables)</t>
        </is>
      </c>
      <c r="E4937" s="12" t="inlineStr">
        <is>
          <t>RICE-5</t>
        </is>
      </c>
      <c r="F4937" s="12" t="inlineStr">
        <is>
          <t>RICE engine-generator 5</t>
        </is>
      </c>
      <c r="G4937" s="12" t="inlineStr">
        <is>
          <t>JB-RICE-5-TC02</t>
        </is>
      </c>
      <c r="H4937" s="12" t="inlineStr">
        <is>
          <t>RICE engine-generator 5</t>
        </is>
      </c>
      <c r="I4937" s="12" t="inlineStr">
        <is>
          <t>Instrumentation</t>
        </is>
      </c>
      <c r="J4937" s="12" t="inlineStr">
        <is>
          <t>Thermocouple extension KX, #16 shielded pairs, PLTC</t>
        </is>
      </c>
      <c r="K4937" s="12" t="inlineStr">
        <is>
          <t>TCX|1 pr|16</t>
        </is>
      </c>
      <c r="L4937" s="12" t="inlineStr">
        <is>
          <t>1 pr</t>
        </is>
      </c>
      <c r="M4937" s="12" t="inlineStr">
        <is>
          <t>16</t>
        </is>
      </c>
      <c r="N4937" s="12" t="n">
        <v>10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I-I-0324</t>
        </is>
      </c>
      <c r="B4938" s="12" t="inlineStr">
        <is>
          <t>I</t>
        </is>
      </c>
      <c r="C4938" s="12" t="inlineStr">
        <is>
          <t>Modular / portable power</t>
        </is>
      </c>
      <c r="D4938" s="12" t="inlineStr">
        <is>
          <t>Home run JB-RICE-5-TC02 to the control / marshalling room</t>
        </is>
      </c>
      <c r="E4938" s="12" t="inlineStr"/>
      <c r="F4938" s="12" t="inlineStr">
        <is>
          <t>PCM: power control module</t>
        </is>
      </c>
      <c r="G4938" s="12" t="inlineStr">
        <is>
          <t>JB-RICE-5-TC02</t>
        </is>
      </c>
      <c r="H4938" s="12" t="inlineStr">
        <is>
          <t>RICE engine-generator 5</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Duct bank</t>
        </is>
      </c>
      <c r="T4938" s="15" t="n">
        <v>57</v>
      </c>
      <c r="U4938" s="15" t="n">
        <v>181</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I-I-0325</t>
        </is>
      </c>
      <c r="B4939" s="12" t="inlineStr">
        <is>
          <t>I</t>
        </is>
      </c>
      <c r="C4939" s="12" t="inlineStr">
        <is>
          <t>Modular / portable power</t>
        </is>
      </c>
      <c r="D4939" s="12" t="inlineStr">
        <is>
          <t>RTD to JB JB-RICE-5-RTD01: 10 x 1 tri (field cables)</t>
        </is>
      </c>
      <c r="E4939" s="12" t="inlineStr">
        <is>
          <t>RICE-5</t>
        </is>
      </c>
      <c r="F4939" s="12" t="inlineStr">
        <is>
          <t>RICE engine-generator 5</t>
        </is>
      </c>
      <c r="G4939" s="12" t="inlineStr">
        <is>
          <t>JB-RICE-5-RTD01</t>
        </is>
      </c>
      <c r="H4939" s="12" t="inlineStr">
        <is>
          <t>RICE engine-generator 5</t>
        </is>
      </c>
      <c r="I4939" s="12" t="inlineStr">
        <is>
          <t>Instrumentation</t>
        </is>
      </c>
      <c r="J4939" s="12" t="inlineStr">
        <is>
          <t>RTD cable, #18 shielded triads, PLTC</t>
        </is>
      </c>
      <c r="K4939" s="12" t="inlineStr">
        <is>
          <t>RTD|1 tri|18</t>
        </is>
      </c>
      <c r="L4939" s="12" t="inlineStr">
        <is>
          <t>1 tri</t>
        </is>
      </c>
      <c r="M4939" s="12" t="inlineStr">
        <is>
          <t>18</t>
        </is>
      </c>
      <c r="N4939" s="12" t="n">
        <v>10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I-I-0326</t>
        </is>
      </c>
      <c r="B4940" s="12" t="inlineStr">
        <is>
          <t>I</t>
        </is>
      </c>
      <c r="C4940" s="12" t="inlineStr">
        <is>
          <t>Modular / portable power</t>
        </is>
      </c>
      <c r="D4940" s="12" t="inlineStr">
        <is>
          <t>Home run JB-RICE-5-RTD01 to the control / marshalling room</t>
        </is>
      </c>
      <c r="E4940" s="12" t="inlineStr"/>
      <c r="F4940" s="12" t="inlineStr">
        <is>
          <t>PCM: power control module</t>
        </is>
      </c>
      <c r="G4940" s="12" t="inlineStr">
        <is>
          <t>JB-RICE-5-RTD01</t>
        </is>
      </c>
      <c r="H4940" s="12" t="inlineStr">
        <is>
          <t>RICE engine-generator 5</t>
        </is>
      </c>
      <c r="I4940" s="12" t="inlineStr">
        <is>
          <t>Instrumentation</t>
        </is>
      </c>
      <c r="J4940" s="12" t="inlineStr">
        <is>
          <t>RTD cable, #18 shielded triads, PLTC</t>
        </is>
      </c>
      <c r="K4940" s="12" t="inlineStr">
        <is>
          <t>RTD|12 tri|18</t>
        </is>
      </c>
      <c r="L4940" s="12" t="inlineStr">
        <is>
          <t>12 tri</t>
        </is>
      </c>
      <c r="M4940" s="12" t="inlineStr">
        <is>
          <t>18</t>
        </is>
      </c>
      <c r="N4940" s="12" t="n">
        <v>1</v>
      </c>
      <c r="O4940" s="12" t="n">
        <v>1</v>
      </c>
      <c r="P4940" s="12" t="n"/>
      <c r="Q4940" s="12" t="n"/>
      <c r="R4940" s="12" t="n"/>
      <c r="S4940" s="12" t="inlineStr">
        <is>
          <t>Duct bank</t>
        </is>
      </c>
      <c r="T4940" s="15" t="n">
        <v>57</v>
      </c>
      <c r="U4940" s="15" t="n">
        <v>181</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I-I-0327</t>
        </is>
      </c>
      <c r="B4941" s="12" t="inlineStr">
        <is>
          <t>I</t>
        </is>
      </c>
      <c r="C4941" s="12" t="inlineStr">
        <is>
          <t>Modular / portable power</t>
        </is>
      </c>
      <c r="D4941" s="12" t="inlineStr">
        <is>
          <t>RTD to JB JB-RICE-5-RTD02: 2 x 1 tri (field cables)</t>
        </is>
      </c>
      <c r="E4941" s="12" t="inlineStr">
        <is>
          <t>RICE-5</t>
        </is>
      </c>
      <c r="F4941" s="12" t="inlineStr">
        <is>
          <t>RICE engine-generator 5</t>
        </is>
      </c>
      <c r="G4941" s="12" t="inlineStr">
        <is>
          <t>JB-RICE-5-RTD02</t>
        </is>
      </c>
      <c r="H4941" s="12" t="inlineStr">
        <is>
          <t>RICE engine-generator 5</t>
        </is>
      </c>
      <c r="I4941" s="12" t="inlineStr">
        <is>
          <t>Instrumentation</t>
        </is>
      </c>
      <c r="J4941" s="12" t="inlineStr">
        <is>
          <t>RTD cable, #18 shielded triads, PLTC</t>
        </is>
      </c>
      <c r="K4941" s="12" t="inlineStr">
        <is>
          <t>RTD|1 tri|18</t>
        </is>
      </c>
      <c r="L4941" s="12" t="inlineStr">
        <is>
          <t>1 tri</t>
        </is>
      </c>
      <c r="M4941" s="12" t="inlineStr">
        <is>
          <t>18</t>
        </is>
      </c>
      <c r="N4941" s="12" t="n">
        <v>2</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I-I-0328</t>
        </is>
      </c>
      <c r="B4942" s="12" t="inlineStr">
        <is>
          <t>I</t>
        </is>
      </c>
      <c r="C4942" s="12" t="inlineStr">
        <is>
          <t>Modular / portable power</t>
        </is>
      </c>
      <c r="D4942" s="12" t="inlineStr">
        <is>
          <t>Home run JB-RICE-5-RTD02 to the control / marshalling room</t>
        </is>
      </c>
      <c r="E4942" s="12" t="inlineStr"/>
      <c r="F4942" s="12" t="inlineStr">
        <is>
          <t>PCM: power control module</t>
        </is>
      </c>
      <c r="G4942" s="12" t="inlineStr">
        <is>
          <t>JB-RICE-5-RTD02</t>
        </is>
      </c>
      <c r="H4942" s="12" t="inlineStr">
        <is>
          <t>RICE engine-generator 5</t>
        </is>
      </c>
      <c r="I4942" s="12" t="inlineStr">
        <is>
          <t>Instrumentation</t>
        </is>
      </c>
      <c r="J4942" s="12" t="inlineStr">
        <is>
          <t>RTD cable, #18 shielded triads, PLTC</t>
        </is>
      </c>
      <c r="K4942" s="12" t="inlineStr">
        <is>
          <t>RTD|12 tri|18</t>
        </is>
      </c>
      <c r="L4942" s="12" t="inlineStr">
        <is>
          <t>12 tri</t>
        </is>
      </c>
      <c r="M4942" s="12" t="inlineStr">
        <is>
          <t>18</t>
        </is>
      </c>
      <c r="N4942" s="12" t="n">
        <v>1</v>
      </c>
      <c r="O4942" s="12" t="n">
        <v>1</v>
      </c>
      <c r="P4942" s="12" t="n"/>
      <c r="Q4942" s="12" t="n"/>
      <c r="R4942" s="12" t="n"/>
      <c r="S4942" s="12" t="inlineStr">
        <is>
          <t>Duct bank</t>
        </is>
      </c>
      <c r="T4942" s="15" t="n">
        <v>57</v>
      </c>
      <c r="U4942" s="15" t="n">
        <v>181</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I-I-0329</t>
        </is>
      </c>
      <c r="B4943" s="12" t="inlineStr">
        <is>
          <t>I</t>
        </is>
      </c>
      <c r="C4943" s="12" t="inlineStr">
        <is>
          <t>Modular / portable power</t>
        </is>
      </c>
      <c r="D4943" s="12" t="inlineStr">
        <is>
          <t>Analog instrument to JB JB-RICE-6-AI01: 20 x 1 pr (field cables)</t>
        </is>
      </c>
      <c r="E4943" s="12" t="inlineStr">
        <is>
          <t>RICE-6</t>
        </is>
      </c>
      <c r="F4943" s="12" t="inlineStr">
        <is>
          <t>RICE engine-generator 6</t>
        </is>
      </c>
      <c r="G4943" s="12" t="inlineStr">
        <is>
          <t>JB-RICE-6-AI01</t>
        </is>
      </c>
      <c r="H4943" s="12" t="inlineStr">
        <is>
          <t>RICE engine-generator 6</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I-I-0330</t>
        </is>
      </c>
      <c r="B4944" s="12" t="inlineStr">
        <is>
          <t>I</t>
        </is>
      </c>
      <c r="C4944" s="12" t="inlineStr">
        <is>
          <t>Modular / portable power</t>
        </is>
      </c>
      <c r="D4944" s="12" t="inlineStr">
        <is>
          <t>Home run JB-RICE-6-AI01 to the control / marshalling room</t>
        </is>
      </c>
      <c r="E4944" s="12" t="inlineStr"/>
      <c r="F4944" s="12" t="inlineStr">
        <is>
          <t>PCM: power control module</t>
        </is>
      </c>
      <c r="G4944" s="12" t="inlineStr">
        <is>
          <t>JB-RICE-6-AI01</t>
        </is>
      </c>
      <c r="H4944" s="12" t="inlineStr">
        <is>
          <t>RICE engine-generator 6</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I-I-0331</t>
        </is>
      </c>
      <c r="B4945" s="12" t="inlineStr">
        <is>
          <t>I</t>
        </is>
      </c>
      <c r="C4945" s="12" t="inlineStr">
        <is>
          <t>Modular / portable power</t>
        </is>
      </c>
      <c r="D4945" s="12" t="inlineStr">
        <is>
          <t>Analog instrument to JB JB-RICE-6-AI02: 20 x 1 pr (field cables)</t>
        </is>
      </c>
      <c r="E4945" s="12" t="inlineStr">
        <is>
          <t>RICE-6</t>
        </is>
      </c>
      <c r="F4945" s="12" t="inlineStr">
        <is>
          <t>RICE engine-generator 6</t>
        </is>
      </c>
      <c r="G4945" s="12" t="inlineStr">
        <is>
          <t>JB-RICE-6-AI02</t>
        </is>
      </c>
      <c r="H4945" s="12" t="inlineStr">
        <is>
          <t>RICE engine-generator 6</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I-I-0332</t>
        </is>
      </c>
      <c r="B4946" s="12" t="inlineStr">
        <is>
          <t>I</t>
        </is>
      </c>
      <c r="C4946" s="12" t="inlineStr">
        <is>
          <t>Modular / portable power</t>
        </is>
      </c>
      <c r="D4946" s="12" t="inlineStr">
        <is>
          <t>Home run JB-RICE-6-AI02 to the control / marshalling room</t>
        </is>
      </c>
      <c r="E4946" s="12" t="inlineStr"/>
      <c r="F4946" s="12" t="inlineStr">
        <is>
          <t>PCM: power control module</t>
        </is>
      </c>
      <c r="G4946" s="12" t="inlineStr">
        <is>
          <t>JB-RICE-6-AI02</t>
        </is>
      </c>
      <c r="H4946" s="12" t="inlineStr">
        <is>
          <t>RICE engine-generator 6</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I-I-0333</t>
        </is>
      </c>
      <c r="B4947" s="12" t="inlineStr">
        <is>
          <t>I</t>
        </is>
      </c>
      <c r="C4947" s="12" t="inlineStr">
        <is>
          <t>Modular / portable power</t>
        </is>
      </c>
      <c r="D4947" s="12" t="inlineStr">
        <is>
          <t>Analog instrument to JB JB-RICE-6-AI03: 20 x 1 pr (field cables)</t>
        </is>
      </c>
      <c r="E4947" s="12" t="inlineStr">
        <is>
          <t>RICE-6</t>
        </is>
      </c>
      <c r="F4947" s="12" t="inlineStr">
        <is>
          <t>RICE engine-generator 6</t>
        </is>
      </c>
      <c r="G4947" s="12" t="inlineStr">
        <is>
          <t>JB-RICE-6-AI03</t>
        </is>
      </c>
      <c r="H4947" s="12" t="inlineStr">
        <is>
          <t>RICE engine-generator 6</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I-I-0334</t>
        </is>
      </c>
      <c r="B4948" s="12" t="inlineStr">
        <is>
          <t>I</t>
        </is>
      </c>
      <c r="C4948" s="12" t="inlineStr">
        <is>
          <t>Modular / portable power</t>
        </is>
      </c>
      <c r="D4948" s="12" t="inlineStr">
        <is>
          <t>Home run JB-RICE-6-AI03 to the control / marshalling room</t>
        </is>
      </c>
      <c r="E4948" s="12" t="inlineStr"/>
      <c r="F4948" s="12" t="inlineStr">
        <is>
          <t>PCM: power control module</t>
        </is>
      </c>
      <c r="G4948" s="12" t="inlineStr">
        <is>
          <t>JB-RICE-6-AI03</t>
        </is>
      </c>
      <c r="H4948" s="12" t="inlineStr">
        <is>
          <t>RICE engine-generator 6</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I-I-0335</t>
        </is>
      </c>
      <c r="B4949" s="12" t="inlineStr">
        <is>
          <t>I</t>
        </is>
      </c>
      <c r="C4949" s="12" t="inlineStr">
        <is>
          <t>Modular / portable power</t>
        </is>
      </c>
      <c r="D4949" s="12" t="inlineStr">
        <is>
          <t>Analog instrument to JB JB-RICE-6-AI04: 20 x 1 pr (field cables)</t>
        </is>
      </c>
      <c r="E4949" s="12" t="inlineStr">
        <is>
          <t>RICE-6</t>
        </is>
      </c>
      <c r="F4949" s="12" t="inlineStr">
        <is>
          <t>RICE engine-generator 6</t>
        </is>
      </c>
      <c r="G4949" s="12" t="inlineStr">
        <is>
          <t>JB-RICE-6-AI04</t>
        </is>
      </c>
      <c r="H4949" s="12" t="inlineStr">
        <is>
          <t>RICE engine-generator 6</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I-I-0336</t>
        </is>
      </c>
      <c r="B4950" s="12" t="inlineStr">
        <is>
          <t>I</t>
        </is>
      </c>
      <c r="C4950" s="12" t="inlineStr">
        <is>
          <t>Modular / portable power</t>
        </is>
      </c>
      <c r="D4950" s="12" t="inlineStr">
        <is>
          <t>Home run JB-RICE-6-AI04 to the control / marshalling room</t>
        </is>
      </c>
      <c r="E4950" s="12" t="inlineStr"/>
      <c r="F4950" s="12" t="inlineStr">
        <is>
          <t>PCM: power control module</t>
        </is>
      </c>
      <c r="G4950" s="12" t="inlineStr">
        <is>
          <t>JB-RICE-6-AI04</t>
        </is>
      </c>
      <c r="H4950" s="12" t="inlineStr">
        <is>
          <t>RICE engine-generator 6</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153</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I-I-0337</t>
        </is>
      </c>
      <c r="B4951" s="12" t="inlineStr">
        <is>
          <t>I</t>
        </is>
      </c>
      <c r="C4951" s="12" t="inlineStr">
        <is>
          <t>Modular / portable power</t>
        </is>
      </c>
      <c r="D4951" s="12" t="inlineStr">
        <is>
          <t>Discrete device to JB JB-RICE-6-DI01: 20 x 1 pr (field cables)</t>
        </is>
      </c>
      <c r="E4951" s="12" t="inlineStr">
        <is>
          <t>RICE-6</t>
        </is>
      </c>
      <c r="F4951" s="12" t="inlineStr">
        <is>
          <t>RICE engine-generator 6</t>
        </is>
      </c>
      <c r="G4951" s="12" t="inlineStr">
        <is>
          <t>JB-RICE-6-DI01</t>
        </is>
      </c>
      <c r="H4951" s="12" t="inlineStr">
        <is>
          <t>RICE engine-generator 6</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I-I-0338</t>
        </is>
      </c>
      <c r="B4952" s="12" t="inlineStr">
        <is>
          <t>I</t>
        </is>
      </c>
      <c r="C4952" s="12" t="inlineStr">
        <is>
          <t>Modular / portable power</t>
        </is>
      </c>
      <c r="D4952" s="12" t="inlineStr">
        <is>
          <t>Home run JB-RICE-6-DI01 to the control / marshalling room</t>
        </is>
      </c>
      <c r="E4952" s="12" t="inlineStr"/>
      <c r="F4952" s="12" t="inlineStr">
        <is>
          <t>PCM: power control module</t>
        </is>
      </c>
      <c r="G4952" s="12" t="inlineStr">
        <is>
          <t>JB-RICE-6-DI01</t>
        </is>
      </c>
      <c r="H4952" s="12" t="inlineStr">
        <is>
          <t>RICE engine-generator 6</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153</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I-I-0339</t>
        </is>
      </c>
      <c r="B4953" s="12" t="inlineStr">
        <is>
          <t>I</t>
        </is>
      </c>
      <c r="C4953" s="12" t="inlineStr">
        <is>
          <t>Modular / portable power</t>
        </is>
      </c>
      <c r="D4953" s="12" t="inlineStr">
        <is>
          <t>Discrete device to JB JB-RICE-6-DI02: 20 x 1 pr (field cables)</t>
        </is>
      </c>
      <c r="E4953" s="12" t="inlineStr">
        <is>
          <t>RICE-6</t>
        </is>
      </c>
      <c r="F4953" s="12" t="inlineStr">
        <is>
          <t>RICE engine-generator 6</t>
        </is>
      </c>
      <c r="G4953" s="12" t="inlineStr">
        <is>
          <t>JB-RICE-6-DI02</t>
        </is>
      </c>
      <c r="H4953" s="12" t="inlineStr">
        <is>
          <t>RICE engine-generator 6</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I-I-0340</t>
        </is>
      </c>
      <c r="B4954" s="12" t="inlineStr">
        <is>
          <t>I</t>
        </is>
      </c>
      <c r="C4954" s="12" t="inlineStr">
        <is>
          <t>Modular / portable power</t>
        </is>
      </c>
      <c r="D4954" s="12" t="inlineStr">
        <is>
          <t>Home run JB-RICE-6-DI02 to the control / marshalling room</t>
        </is>
      </c>
      <c r="E4954" s="12" t="inlineStr"/>
      <c r="F4954" s="12" t="inlineStr">
        <is>
          <t>PCM: power control module</t>
        </is>
      </c>
      <c r="G4954" s="12" t="inlineStr">
        <is>
          <t>JB-RICE-6-DI02</t>
        </is>
      </c>
      <c r="H4954" s="12" t="inlineStr">
        <is>
          <t>RICE engine-generator 6</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153</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I-I-0341</t>
        </is>
      </c>
      <c r="B4955" s="12" t="inlineStr">
        <is>
          <t>I</t>
        </is>
      </c>
      <c r="C4955" s="12" t="inlineStr">
        <is>
          <t>Modular / portable power</t>
        </is>
      </c>
      <c r="D4955" s="12" t="inlineStr">
        <is>
          <t>Discrete device to JB JB-RICE-6-DI03: 20 x 1 pr (field cables)</t>
        </is>
      </c>
      <c r="E4955" s="12" t="inlineStr">
        <is>
          <t>RICE-6</t>
        </is>
      </c>
      <c r="F4955" s="12" t="inlineStr">
        <is>
          <t>RICE engine-generator 6</t>
        </is>
      </c>
      <c r="G4955" s="12" t="inlineStr">
        <is>
          <t>JB-RICE-6-DI03</t>
        </is>
      </c>
      <c r="H4955" s="12" t="inlineStr">
        <is>
          <t>RICE engine-generator 6</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I-I-0342</t>
        </is>
      </c>
      <c r="B4956" s="12" t="inlineStr">
        <is>
          <t>I</t>
        </is>
      </c>
      <c r="C4956" s="12" t="inlineStr">
        <is>
          <t>Modular / portable power</t>
        </is>
      </c>
      <c r="D4956" s="12" t="inlineStr">
        <is>
          <t>Home run JB-RICE-6-DI03 to the control / marshalling room</t>
        </is>
      </c>
      <c r="E4956" s="12" t="inlineStr"/>
      <c r="F4956" s="12" t="inlineStr">
        <is>
          <t>PCM: power control module</t>
        </is>
      </c>
      <c r="G4956" s="12" t="inlineStr">
        <is>
          <t>JB-RICE-6-DI03</t>
        </is>
      </c>
      <c r="H4956" s="12" t="inlineStr">
        <is>
          <t>RICE engine-generator 6</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153</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I-I-0343</t>
        </is>
      </c>
      <c r="B4957" s="12" t="inlineStr">
        <is>
          <t>I</t>
        </is>
      </c>
      <c r="C4957" s="12" t="inlineStr">
        <is>
          <t>Modular / portable power</t>
        </is>
      </c>
      <c r="D4957" s="12" t="inlineStr">
        <is>
          <t>Thermocouple to TC JB JB-RICE-6-TC01: 20 x 1 pr (field cables)</t>
        </is>
      </c>
      <c r="E4957" s="12" t="inlineStr">
        <is>
          <t>RICE-6</t>
        </is>
      </c>
      <c r="F4957" s="12" t="inlineStr">
        <is>
          <t>RICE engine-generator 6</t>
        </is>
      </c>
      <c r="G4957" s="12" t="inlineStr">
        <is>
          <t>JB-RICE-6-TC01</t>
        </is>
      </c>
      <c r="H4957" s="12" t="inlineStr">
        <is>
          <t>RICE engine-generator 6</t>
        </is>
      </c>
      <c r="I4957" s="12" t="inlineStr">
        <is>
          <t>Instrumentation</t>
        </is>
      </c>
      <c r="J4957" s="12" t="inlineStr">
        <is>
          <t>Thermocouple extension KX, #16 shielded pairs, PLTC</t>
        </is>
      </c>
      <c r="K4957" s="12" t="inlineStr">
        <is>
          <t>TCX|1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I-I-0344</t>
        </is>
      </c>
      <c r="B4958" s="12" t="inlineStr">
        <is>
          <t>I</t>
        </is>
      </c>
      <c r="C4958" s="12" t="inlineStr">
        <is>
          <t>Modular / portable power</t>
        </is>
      </c>
      <c r="D4958" s="12" t="inlineStr">
        <is>
          <t>Home run JB-RICE-6-TC01 to the control / marshalling room</t>
        </is>
      </c>
      <c r="E4958" s="12" t="inlineStr"/>
      <c r="F4958" s="12" t="inlineStr">
        <is>
          <t>PCM: power control module</t>
        </is>
      </c>
      <c r="G4958" s="12" t="inlineStr">
        <is>
          <t>JB-RICE-6-TC01</t>
        </is>
      </c>
      <c r="H4958" s="12" t="inlineStr">
        <is>
          <t>RICE engine-generator 6</t>
        </is>
      </c>
      <c r="I4958" s="12" t="inlineStr">
        <is>
          <t>Instrumentation</t>
        </is>
      </c>
      <c r="J4958" s="12" t="inlineStr">
        <is>
          <t>Thermocouple extension KX, #16 shielded pairs, PLTC</t>
        </is>
      </c>
      <c r="K4958" s="12" t="inlineStr">
        <is>
          <t>TCX|24 pr|16</t>
        </is>
      </c>
      <c r="L4958" s="12" t="inlineStr">
        <is>
          <t>24 pr</t>
        </is>
      </c>
      <c r="M4958" s="12" t="inlineStr">
        <is>
          <t>16</t>
        </is>
      </c>
      <c r="N4958" s="12" t="n">
        <v>1</v>
      </c>
      <c r="O4958" s="12" t="n">
        <v>1</v>
      </c>
      <c r="P4958" s="12" t="n"/>
      <c r="Q4958" s="12" t="n"/>
      <c r="R4958" s="12" t="n"/>
      <c r="S4958" s="12" t="inlineStr">
        <is>
          <t>Duct bank</t>
        </is>
      </c>
      <c r="T4958" s="15" t="n">
        <v>57</v>
      </c>
      <c r="U4958" s="15" t="n">
        <v>153</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I-I-0345</t>
        </is>
      </c>
      <c r="B4959" s="12" t="inlineStr">
        <is>
          <t>I</t>
        </is>
      </c>
      <c r="C4959" s="12" t="inlineStr">
        <is>
          <t>Modular / portable power</t>
        </is>
      </c>
      <c r="D4959" s="12" t="inlineStr">
        <is>
          <t>Thermocouple to TC JB JB-RICE-6-TC02: 10 x 1 pr (field cables)</t>
        </is>
      </c>
      <c r="E4959" s="12" t="inlineStr">
        <is>
          <t>RICE-6</t>
        </is>
      </c>
      <c r="F4959" s="12" t="inlineStr">
        <is>
          <t>RICE engine-generator 6</t>
        </is>
      </c>
      <c r="G4959" s="12" t="inlineStr">
        <is>
          <t>JB-RICE-6-TC02</t>
        </is>
      </c>
      <c r="H4959" s="12" t="inlineStr">
        <is>
          <t>RICE engine-generator 6</t>
        </is>
      </c>
      <c r="I4959" s="12" t="inlineStr">
        <is>
          <t>Instrumentation</t>
        </is>
      </c>
      <c r="J4959" s="12" t="inlineStr">
        <is>
          <t>Thermocouple extension KX, #16 shielded pairs, PLTC</t>
        </is>
      </c>
      <c r="K4959" s="12" t="inlineStr">
        <is>
          <t>TCX|1 pr|16</t>
        </is>
      </c>
      <c r="L4959" s="12" t="inlineStr">
        <is>
          <t>1 pr</t>
        </is>
      </c>
      <c r="M4959" s="12" t="inlineStr">
        <is>
          <t>16</t>
        </is>
      </c>
      <c r="N4959" s="12" t="n">
        <v>10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I-I-0346</t>
        </is>
      </c>
      <c r="B4960" s="12" t="inlineStr">
        <is>
          <t>I</t>
        </is>
      </c>
      <c r="C4960" s="12" t="inlineStr">
        <is>
          <t>Modular / portable power</t>
        </is>
      </c>
      <c r="D4960" s="12" t="inlineStr">
        <is>
          <t>Home run JB-RICE-6-TC02 to the control / marshalling room</t>
        </is>
      </c>
      <c r="E4960" s="12" t="inlineStr"/>
      <c r="F4960" s="12" t="inlineStr">
        <is>
          <t>PCM: power control module</t>
        </is>
      </c>
      <c r="G4960" s="12" t="inlineStr">
        <is>
          <t>JB-RICE-6-TC02</t>
        </is>
      </c>
      <c r="H4960" s="12" t="inlineStr">
        <is>
          <t>RICE engine-generator 6</t>
        </is>
      </c>
      <c r="I4960" s="12" t="inlineStr">
        <is>
          <t>Instrumentation</t>
        </is>
      </c>
      <c r="J4960" s="12" t="inlineStr">
        <is>
          <t>Thermocouple extension KX, #16 shielded pairs, PLTC</t>
        </is>
      </c>
      <c r="K4960" s="12" t="inlineStr">
        <is>
          <t>TCX|24 pr|16</t>
        </is>
      </c>
      <c r="L4960" s="12" t="inlineStr">
        <is>
          <t>24 pr</t>
        </is>
      </c>
      <c r="M4960" s="12" t="inlineStr">
        <is>
          <t>16</t>
        </is>
      </c>
      <c r="N4960" s="12" t="n">
        <v>1</v>
      </c>
      <c r="O4960" s="12" t="n">
        <v>1</v>
      </c>
      <c r="P4960" s="12" t="n"/>
      <c r="Q4960" s="12" t="n"/>
      <c r="R4960" s="12" t="n"/>
      <c r="S4960" s="12" t="inlineStr">
        <is>
          <t>Duct bank</t>
        </is>
      </c>
      <c r="T4960" s="15" t="n">
        <v>57</v>
      </c>
      <c r="U4960" s="15" t="n">
        <v>153</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I-I-0347</t>
        </is>
      </c>
      <c r="B4961" s="12" t="inlineStr">
        <is>
          <t>I</t>
        </is>
      </c>
      <c r="C4961" s="12" t="inlineStr">
        <is>
          <t>Modular / portable power</t>
        </is>
      </c>
      <c r="D4961" s="12" t="inlineStr">
        <is>
          <t>RTD to JB JB-RICE-6-RTD01: 10 x 1 tri (field cables)</t>
        </is>
      </c>
      <c r="E4961" s="12" t="inlineStr">
        <is>
          <t>RICE-6</t>
        </is>
      </c>
      <c r="F4961" s="12" t="inlineStr">
        <is>
          <t>RICE engine-generator 6</t>
        </is>
      </c>
      <c r="G4961" s="12" t="inlineStr">
        <is>
          <t>JB-RICE-6-RTD01</t>
        </is>
      </c>
      <c r="H4961" s="12" t="inlineStr">
        <is>
          <t>RICE engine-generator 6</t>
        </is>
      </c>
      <c r="I4961" s="12" t="inlineStr">
        <is>
          <t>Instrumentation</t>
        </is>
      </c>
      <c r="J4961" s="12" t="inlineStr">
        <is>
          <t>RTD cable, #18 shielded triads, PLTC</t>
        </is>
      </c>
      <c r="K4961" s="12" t="inlineStr">
        <is>
          <t>RTD|1 tri|18</t>
        </is>
      </c>
      <c r="L4961" s="12" t="inlineStr">
        <is>
          <t>1 tri</t>
        </is>
      </c>
      <c r="M4961" s="12" t="inlineStr">
        <is>
          <t>18</t>
        </is>
      </c>
      <c r="N4961" s="12" t="n">
        <v>10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I-I-0348</t>
        </is>
      </c>
      <c r="B4962" s="12" t="inlineStr">
        <is>
          <t>I</t>
        </is>
      </c>
      <c r="C4962" s="12" t="inlineStr">
        <is>
          <t>Modular / portable power</t>
        </is>
      </c>
      <c r="D4962" s="12" t="inlineStr">
        <is>
          <t>Home run JB-RICE-6-RTD01 to the control / marshalling room</t>
        </is>
      </c>
      <c r="E4962" s="12" t="inlineStr"/>
      <c r="F4962" s="12" t="inlineStr">
        <is>
          <t>PCM: power control module</t>
        </is>
      </c>
      <c r="G4962" s="12" t="inlineStr">
        <is>
          <t>JB-RICE-6-RTD01</t>
        </is>
      </c>
      <c r="H4962" s="12" t="inlineStr">
        <is>
          <t>RICE engine-generator 6</t>
        </is>
      </c>
      <c r="I4962" s="12" t="inlineStr">
        <is>
          <t>Instrumentation</t>
        </is>
      </c>
      <c r="J4962" s="12" t="inlineStr">
        <is>
          <t>RTD cable, #18 shielded triads, PLTC</t>
        </is>
      </c>
      <c r="K4962" s="12" t="inlineStr">
        <is>
          <t>RTD|12 tri|18</t>
        </is>
      </c>
      <c r="L4962" s="12" t="inlineStr">
        <is>
          <t>12 tri</t>
        </is>
      </c>
      <c r="M4962" s="12" t="inlineStr">
        <is>
          <t>18</t>
        </is>
      </c>
      <c r="N4962" s="12" t="n">
        <v>1</v>
      </c>
      <c r="O4962" s="12" t="n">
        <v>1</v>
      </c>
      <c r="P4962" s="12" t="n"/>
      <c r="Q4962" s="12" t="n"/>
      <c r="R4962" s="12" t="n"/>
      <c r="S4962" s="12" t="inlineStr">
        <is>
          <t>Duct bank</t>
        </is>
      </c>
      <c r="T4962" s="15" t="n">
        <v>57</v>
      </c>
      <c r="U4962" s="15" t="n">
        <v>153</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I-I-0349</t>
        </is>
      </c>
      <c r="B4963" s="12" t="inlineStr">
        <is>
          <t>I</t>
        </is>
      </c>
      <c r="C4963" s="12" t="inlineStr">
        <is>
          <t>Modular / portable power</t>
        </is>
      </c>
      <c r="D4963" s="12" t="inlineStr">
        <is>
          <t>RTD to JB JB-RICE-6-RTD02: 2 x 1 tri (field cables)</t>
        </is>
      </c>
      <c r="E4963" s="12" t="inlineStr">
        <is>
          <t>RICE-6</t>
        </is>
      </c>
      <c r="F4963" s="12" t="inlineStr">
        <is>
          <t>RICE engine-generator 6</t>
        </is>
      </c>
      <c r="G4963" s="12" t="inlineStr">
        <is>
          <t>JB-RICE-6-RTD02</t>
        </is>
      </c>
      <c r="H4963" s="12" t="inlineStr">
        <is>
          <t>RICE engine-generator 6</t>
        </is>
      </c>
      <c r="I4963" s="12" t="inlineStr">
        <is>
          <t>Instrumentation</t>
        </is>
      </c>
      <c r="J4963" s="12" t="inlineStr">
        <is>
          <t>RTD cable, #18 shielded triads, PLTC</t>
        </is>
      </c>
      <c r="K4963" s="12" t="inlineStr">
        <is>
          <t>RTD|1 tri|18</t>
        </is>
      </c>
      <c r="L4963" s="12" t="inlineStr">
        <is>
          <t>1 tri</t>
        </is>
      </c>
      <c r="M4963" s="12" t="inlineStr">
        <is>
          <t>18</t>
        </is>
      </c>
      <c r="N4963" s="12" t="n">
        <v>2</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I-I-0350</t>
        </is>
      </c>
      <c r="B4964" s="12" t="inlineStr">
        <is>
          <t>I</t>
        </is>
      </c>
      <c r="C4964" s="12" t="inlineStr">
        <is>
          <t>Modular / portable power</t>
        </is>
      </c>
      <c r="D4964" s="12" t="inlineStr">
        <is>
          <t>Home run JB-RICE-6-RTD02 to the control / marshalling room</t>
        </is>
      </c>
      <c r="E4964" s="12" t="inlineStr"/>
      <c r="F4964" s="12" t="inlineStr">
        <is>
          <t>PCM: power control module</t>
        </is>
      </c>
      <c r="G4964" s="12" t="inlineStr">
        <is>
          <t>JB-RICE-6-RTD02</t>
        </is>
      </c>
      <c r="H4964" s="12" t="inlineStr">
        <is>
          <t>RICE engine-generator 6</t>
        </is>
      </c>
      <c r="I4964" s="12" t="inlineStr">
        <is>
          <t>Instrumentation</t>
        </is>
      </c>
      <c r="J4964" s="12" t="inlineStr">
        <is>
          <t>RTD cable, #18 shielded triads, PLTC</t>
        </is>
      </c>
      <c r="K4964" s="12" t="inlineStr">
        <is>
          <t>RTD|12 tri|18</t>
        </is>
      </c>
      <c r="L4964" s="12" t="inlineStr">
        <is>
          <t>12 tri</t>
        </is>
      </c>
      <c r="M4964" s="12" t="inlineStr">
        <is>
          <t>18</t>
        </is>
      </c>
      <c r="N4964" s="12" t="n">
        <v>1</v>
      </c>
      <c r="O4964" s="12" t="n">
        <v>1</v>
      </c>
      <c r="P4964" s="12" t="n"/>
      <c r="Q4964" s="12" t="n"/>
      <c r="R4964" s="12" t="n"/>
      <c r="S4964" s="12" t="inlineStr">
        <is>
          <t>Duct bank</t>
        </is>
      </c>
      <c r="T4964" s="15" t="n">
        <v>57</v>
      </c>
      <c r="U4964" s="15" t="n">
        <v>153</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I-I-0351</t>
        </is>
      </c>
      <c r="B4965" s="12" t="inlineStr">
        <is>
          <t>I</t>
        </is>
      </c>
      <c r="C4965" s="12" t="inlineStr">
        <is>
          <t>Modular / portable power</t>
        </is>
      </c>
      <c r="D4965" s="12" t="inlineStr">
        <is>
          <t>Analog instrument to JB JB-RICE-7-AI01: 20 x 1 pr (field cables)</t>
        </is>
      </c>
      <c r="E4965" s="12" t="inlineStr">
        <is>
          <t>RICE-7</t>
        </is>
      </c>
      <c r="F4965" s="12" t="inlineStr">
        <is>
          <t>RICE engine-generator 7</t>
        </is>
      </c>
      <c r="G4965" s="12" t="inlineStr">
        <is>
          <t>JB-RICE-7-AI01</t>
        </is>
      </c>
      <c r="H4965" s="12" t="inlineStr">
        <is>
          <t>RICE engine-generator 7</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I-I-0352</t>
        </is>
      </c>
      <c r="B4966" s="12" t="inlineStr">
        <is>
          <t>I</t>
        </is>
      </c>
      <c r="C4966" s="12" t="inlineStr">
        <is>
          <t>Modular / portable power</t>
        </is>
      </c>
      <c r="D4966" s="12" t="inlineStr">
        <is>
          <t>Home run JB-RICE-7-AI01 to the control / marshalling room</t>
        </is>
      </c>
      <c r="E4966" s="12" t="inlineStr"/>
      <c r="F4966" s="12" t="inlineStr">
        <is>
          <t>PCM: power control module</t>
        </is>
      </c>
      <c r="G4966" s="12" t="inlineStr">
        <is>
          <t>JB-RICE-7-AI01</t>
        </is>
      </c>
      <c r="H4966" s="12" t="inlineStr">
        <is>
          <t>RICE engine-generator 7</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I-I-0353</t>
        </is>
      </c>
      <c r="B4967" s="12" t="inlineStr">
        <is>
          <t>I</t>
        </is>
      </c>
      <c r="C4967" s="12" t="inlineStr">
        <is>
          <t>Modular / portable power</t>
        </is>
      </c>
      <c r="D4967" s="12" t="inlineStr">
        <is>
          <t>Analog instrument to JB JB-RICE-7-AI02: 20 x 1 pr (field cables)</t>
        </is>
      </c>
      <c r="E4967" s="12" t="inlineStr">
        <is>
          <t>RICE-7</t>
        </is>
      </c>
      <c r="F4967" s="12" t="inlineStr">
        <is>
          <t>RICE engine-generator 7</t>
        </is>
      </c>
      <c r="G4967" s="12" t="inlineStr">
        <is>
          <t>JB-RICE-7-AI02</t>
        </is>
      </c>
      <c r="H4967" s="12" t="inlineStr">
        <is>
          <t>RICE engine-generator 7</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I-I-0354</t>
        </is>
      </c>
      <c r="B4968" s="12" t="inlineStr">
        <is>
          <t>I</t>
        </is>
      </c>
      <c r="C4968" s="12" t="inlineStr">
        <is>
          <t>Modular / portable power</t>
        </is>
      </c>
      <c r="D4968" s="12" t="inlineStr">
        <is>
          <t>Home run JB-RICE-7-AI02 to the control / marshalling room</t>
        </is>
      </c>
      <c r="E4968" s="12" t="inlineStr"/>
      <c r="F4968" s="12" t="inlineStr">
        <is>
          <t>PCM: power control module</t>
        </is>
      </c>
      <c r="G4968" s="12" t="inlineStr">
        <is>
          <t>JB-RICE-7-AI02</t>
        </is>
      </c>
      <c r="H4968" s="12" t="inlineStr">
        <is>
          <t>RICE engine-generator 7</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I-I-0355</t>
        </is>
      </c>
      <c r="B4969" s="12" t="inlineStr">
        <is>
          <t>I</t>
        </is>
      </c>
      <c r="C4969" s="12" t="inlineStr">
        <is>
          <t>Modular / portable power</t>
        </is>
      </c>
      <c r="D4969" s="12" t="inlineStr">
        <is>
          <t>Analog instrument to JB JB-RICE-7-AI03: 20 x 1 pr (field cables)</t>
        </is>
      </c>
      <c r="E4969" s="12" t="inlineStr">
        <is>
          <t>RICE-7</t>
        </is>
      </c>
      <c r="F4969" s="12" t="inlineStr">
        <is>
          <t>RICE engine-generator 7</t>
        </is>
      </c>
      <c r="G4969" s="12" t="inlineStr">
        <is>
          <t>JB-RICE-7-AI03</t>
        </is>
      </c>
      <c r="H4969" s="12" t="inlineStr">
        <is>
          <t>RICE engine-generator 7</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I-I-0356</t>
        </is>
      </c>
      <c r="B4970" s="12" t="inlineStr">
        <is>
          <t>I</t>
        </is>
      </c>
      <c r="C4970" s="12" t="inlineStr">
        <is>
          <t>Modular / portable power</t>
        </is>
      </c>
      <c r="D4970" s="12" t="inlineStr">
        <is>
          <t>Home run JB-RICE-7-AI03 to the control / marshalling room</t>
        </is>
      </c>
      <c r="E4970" s="12" t="inlineStr"/>
      <c r="F4970" s="12" t="inlineStr">
        <is>
          <t>PCM: power control module</t>
        </is>
      </c>
      <c r="G4970" s="12" t="inlineStr">
        <is>
          <t>JB-RICE-7-AI03</t>
        </is>
      </c>
      <c r="H4970" s="12" t="inlineStr">
        <is>
          <t>RICE engine-generator 7</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I-I-0357</t>
        </is>
      </c>
      <c r="B4971" s="12" t="inlineStr">
        <is>
          <t>I</t>
        </is>
      </c>
      <c r="C4971" s="12" t="inlineStr">
        <is>
          <t>Modular / portable power</t>
        </is>
      </c>
      <c r="D4971" s="12" t="inlineStr">
        <is>
          <t>Analog instrument to JB JB-RICE-7-AI04: 20 x 1 pr (field cables)</t>
        </is>
      </c>
      <c r="E4971" s="12" t="inlineStr">
        <is>
          <t>RICE-7</t>
        </is>
      </c>
      <c r="F4971" s="12" t="inlineStr">
        <is>
          <t>RICE engine-generator 7</t>
        </is>
      </c>
      <c r="G4971" s="12" t="inlineStr">
        <is>
          <t>JB-RICE-7-AI04</t>
        </is>
      </c>
      <c r="H4971" s="12" t="inlineStr">
        <is>
          <t>RICE engine-generator 7</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I-I-0358</t>
        </is>
      </c>
      <c r="B4972" s="12" t="inlineStr">
        <is>
          <t>I</t>
        </is>
      </c>
      <c r="C4972" s="12" t="inlineStr">
        <is>
          <t>Modular / portable power</t>
        </is>
      </c>
      <c r="D4972" s="12" t="inlineStr">
        <is>
          <t>Home run JB-RICE-7-AI04 to the control / marshalling room</t>
        </is>
      </c>
      <c r="E4972" s="12" t="inlineStr"/>
      <c r="F4972" s="12" t="inlineStr">
        <is>
          <t>PCM: power control module</t>
        </is>
      </c>
      <c r="G4972" s="12" t="inlineStr">
        <is>
          <t>JB-RICE-7-AI04</t>
        </is>
      </c>
      <c r="H4972" s="12" t="inlineStr">
        <is>
          <t>RICE engine-generator 7</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125</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I-I-0359</t>
        </is>
      </c>
      <c r="B4973" s="12" t="inlineStr">
        <is>
          <t>I</t>
        </is>
      </c>
      <c r="C4973" s="12" t="inlineStr">
        <is>
          <t>Modular / portable power</t>
        </is>
      </c>
      <c r="D4973" s="12" t="inlineStr">
        <is>
          <t>Discrete device to JB JB-RICE-7-DI01: 20 x 1 pr (field cables)</t>
        </is>
      </c>
      <c r="E4973" s="12" t="inlineStr">
        <is>
          <t>RICE-7</t>
        </is>
      </c>
      <c r="F4973" s="12" t="inlineStr">
        <is>
          <t>RICE engine-generator 7</t>
        </is>
      </c>
      <c r="G4973" s="12" t="inlineStr">
        <is>
          <t>JB-RICE-7-DI01</t>
        </is>
      </c>
      <c r="H4973" s="12" t="inlineStr">
        <is>
          <t>RICE engine-generator 7</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I-I-0360</t>
        </is>
      </c>
      <c r="B4974" s="12" t="inlineStr">
        <is>
          <t>I</t>
        </is>
      </c>
      <c r="C4974" s="12" t="inlineStr">
        <is>
          <t>Modular / portable power</t>
        </is>
      </c>
      <c r="D4974" s="12" t="inlineStr">
        <is>
          <t>Home run JB-RICE-7-DI01 to the control / marshalling room</t>
        </is>
      </c>
      <c r="E4974" s="12" t="inlineStr"/>
      <c r="F4974" s="12" t="inlineStr">
        <is>
          <t>PCM: power control module</t>
        </is>
      </c>
      <c r="G4974" s="12" t="inlineStr">
        <is>
          <t>JB-RICE-7-DI01</t>
        </is>
      </c>
      <c r="H4974" s="12" t="inlineStr">
        <is>
          <t>RICE engine-generator 7</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125</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I-I-0361</t>
        </is>
      </c>
      <c r="B4975" s="12" t="inlineStr">
        <is>
          <t>I</t>
        </is>
      </c>
      <c r="C4975" s="12" t="inlineStr">
        <is>
          <t>Modular / portable power</t>
        </is>
      </c>
      <c r="D4975" s="12" t="inlineStr">
        <is>
          <t>Discrete device to JB JB-RICE-7-DI02: 20 x 1 pr (field cables)</t>
        </is>
      </c>
      <c r="E4975" s="12" t="inlineStr">
        <is>
          <t>RICE-7</t>
        </is>
      </c>
      <c r="F4975" s="12" t="inlineStr">
        <is>
          <t>RICE engine-generator 7</t>
        </is>
      </c>
      <c r="G4975" s="12" t="inlineStr">
        <is>
          <t>JB-RICE-7-DI02</t>
        </is>
      </c>
      <c r="H4975" s="12" t="inlineStr">
        <is>
          <t>RICE engine-generator 7</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I-I-0362</t>
        </is>
      </c>
      <c r="B4976" s="12" t="inlineStr">
        <is>
          <t>I</t>
        </is>
      </c>
      <c r="C4976" s="12" t="inlineStr">
        <is>
          <t>Modular / portable power</t>
        </is>
      </c>
      <c r="D4976" s="12" t="inlineStr">
        <is>
          <t>Home run JB-RICE-7-DI02 to the control / marshalling room</t>
        </is>
      </c>
      <c r="E4976" s="12" t="inlineStr"/>
      <c r="F4976" s="12" t="inlineStr">
        <is>
          <t>PCM: power control module</t>
        </is>
      </c>
      <c r="G4976" s="12" t="inlineStr">
        <is>
          <t>JB-RICE-7-DI02</t>
        </is>
      </c>
      <c r="H4976" s="12" t="inlineStr">
        <is>
          <t>RICE engine-generator 7</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125</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I-I-0363</t>
        </is>
      </c>
      <c r="B4977" s="12" t="inlineStr">
        <is>
          <t>I</t>
        </is>
      </c>
      <c r="C4977" s="12" t="inlineStr">
        <is>
          <t>Modular / portable power</t>
        </is>
      </c>
      <c r="D4977" s="12" t="inlineStr">
        <is>
          <t>Discrete device to JB JB-RICE-7-DI03: 20 x 1 pr (field cables)</t>
        </is>
      </c>
      <c r="E4977" s="12" t="inlineStr">
        <is>
          <t>RICE-7</t>
        </is>
      </c>
      <c r="F4977" s="12" t="inlineStr">
        <is>
          <t>RICE engine-generator 7</t>
        </is>
      </c>
      <c r="G4977" s="12" t="inlineStr">
        <is>
          <t>JB-RICE-7-DI03</t>
        </is>
      </c>
      <c r="H4977" s="12" t="inlineStr">
        <is>
          <t>RICE engine-generator 7</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I-I-0364</t>
        </is>
      </c>
      <c r="B4978" s="12" t="inlineStr">
        <is>
          <t>I</t>
        </is>
      </c>
      <c r="C4978" s="12" t="inlineStr">
        <is>
          <t>Modular / portable power</t>
        </is>
      </c>
      <c r="D4978" s="12" t="inlineStr">
        <is>
          <t>Home run JB-RICE-7-DI03 to the control / marshalling room</t>
        </is>
      </c>
      <c r="E4978" s="12" t="inlineStr"/>
      <c r="F4978" s="12" t="inlineStr">
        <is>
          <t>PCM: power control module</t>
        </is>
      </c>
      <c r="G4978" s="12" t="inlineStr">
        <is>
          <t>JB-RICE-7-DI03</t>
        </is>
      </c>
      <c r="H4978" s="12" t="inlineStr">
        <is>
          <t>RICE engine-generator 7</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125</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I-I-0365</t>
        </is>
      </c>
      <c r="B4979" s="12" t="inlineStr">
        <is>
          <t>I</t>
        </is>
      </c>
      <c r="C4979" s="12" t="inlineStr">
        <is>
          <t>Modular / portable power</t>
        </is>
      </c>
      <c r="D4979" s="12" t="inlineStr">
        <is>
          <t>Thermocouple to TC JB JB-RICE-7-TC01: 20 x 1 pr (field cables)</t>
        </is>
      </c>
      <c r="E4979" s="12" t="inlineStr">
        <is>
          <t>RICE-7</t>
        </is>
      </c>
      <c r="F4979" s="12" t="inlineStr">
        <is>
          <t>RICE engine-generator 7</t>
        </is>
      </c>
      <c r="G4979" s="12" t="inlineStr">
        <is>
          <t>JB-RICE-7-TC01</t>
        </is>
      </c>
      <c r="H4979" s="12" t="inlineStr">
        <is>
          <t>RICE engine-generator 7</t>
        </is>
      </c>
      <c r="I4979" s="12" t="inlineStr">
        <is>
          <t>Instrumentation</t>
        </is>
      </c>
      <c r="J4979" s="12" t="inlineStr">
        <is>
          <t>Thermocouple extension KX, #16 shielded pairs, PLTC</t>
        </is>
      </c>
      <c r="K4979" s="12" t="inlineStr">
        <is>
          <t>TCX|1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I-I-0366</t>
        </is>
      </c>
      <c r="B4980" s="12" t="inlineStr">
        <is>
          <t>I</t>
        </is>
      </c>
      <c r="C4980" s="12" t="inlineStr">
        <is>
          <t>Modular / portable power</t>
        </is>
      </c>
      <c r="D4980" s="12" t="inlineStr">
        <is>
          <t>Home run JB-RICE-7-TC01 to the control / marshalling room</t>
        </is>
      </c>
      <c r="E4980" s="12" t="inlineStr"/>
      <c r="F4980" s="12" t="inlineStr">
        <is>
          <t>PCM: power control module</t>
        </is>
      </c>
      <c r="G4980" s="12" t="inlineStr">
        <is>
          <t>JB-RICE-7-TC01</t>
        </is>
      </c>
      <c r="H4980" s="12" t="inlineStr">
        <is>
          <t>RICE engine-generator 7</t>
        </is>
      </c>
      <c r="I4980" s="12" t="inlineStr">
        <is>
          <t>Instrumentation</t>
        </is>
      </c>
      <c r="J4980" s="12" t="inlineStr">
        <is>
          <t>Thermocouple extension KX, #16 shielded pairs, PLTC</t>
        </is>
      </c>
      <c r="K4980" s="12" t="inlineStr">
        <is>
          <t>TCX|24 pr|16</t>
        </is>
      </c>
      <c r="L4980" s="12" t="inlineStr">
        <is>
          <t>24 pr</t>
        </is>
      </c>
      <c r="M4980" s="12" t="inlineStr">
        <is>
          <t>16</t>
        </is>
      </c>
      <c r="N4980" s="12" t="n">
        <v>1</v>
      </c>
      <c r="O4980" s="12" t="n">
        <v>1</v>
      </c>
      <c r="P4980" s="12" t="n"/>
      <c r="Q4980" s="12" t="n"/>
      <c r="R4980" s="12" t="n"/>
      <c r="S4980" s="12" t="inlineStr">
        <is>
          <t>Duct bank</t>
        </is>
      </c>
      <c r="T4980" s="15" t="n">
        <v>57</v>
      </c>
      <c r="U4980" s="15" t="n">
        <v>125</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I-I-0367</t>
        </is>
      </c>
      <c r="B4981" s="12" t="inlineStr">
        <is>
          <t>I</t>
        </is>
      </c>
      <c r="C4981" s="12" t="inlineStr">
        <is>
          <t>Modular / portable power</t>
        </is>
      </c>
      <c r="D4981" s="12" t="inlineStr">
        <is>
          <t>Thermocouple to TC JB JB-RICE-7-TC02: 10 x 1 pr (field cables)</t>
        </is>
      </c>
      <c r="E4981" s="12" t="inlineStr">
        <is>
          <t>RICE-7</t>
        </is>
      </c>
      <c r="F4981" s="12" t="inlineStr">
        <is>
          <t>RICE engine-generator 7</t>
        </is>
      </c>
      <c r="G4981" s="12" t="inlineStr">
        <is>
          <t>JB-RICE-7-TC02</t>
        </is>
      </c>
      <c r="H4981" s="12" t="inlineStr">
        <is>
          <t>RICE engine-generator 7</t>
        </is>
      </c>
      <c r="I4981" s="12" t="inlineStr">
        <is>
          <t>Instrumentation</t>
        </is>
      </c>
      <c r="J4981" s="12" t="inlineStr">
        <is>
          <t>Thermocouple extension KX, #16 shielded pairs, PLTC</t>
        </is>
      </c>
      <c r="K4981" s="12" t="inlineStr">
        <is>
          <t>TCX|1 pr|16</t>
        </is>
      </c>
      <c r="L4981" s="12" t="inlineStr">
        <is>
          <t>1 pr</t>
        </is>
      </c>
      <c r="M4981" s="12" t="inlineStr">
        <is>
          <t>16</t>
        </is>
      </c>
      <c r="N4981" s="12" t="n">
        <v>10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I-I-0368</t>
        </is>
      </c>
      <c r="B4982" s="12" t="inlineStr">
        <is>
          <t>I</t>
        </is>
      </c>
      <c r="C4982" s="12" t="inlineStr">
        <is>
          <t>Modular / portable power</t>
        </is>
      </c>
      <c r="D4982" s="12" t="inlineStr">
        <is>
          <t>Home run JB-RICE-7-TC02 to the control / marshalling room</t>
        </is>
      </c>
      <c r="E4982" s="12" t="inlineStr"/>
      <c r="F4982" s="12" t="inlineStr">
        <is>
          <t>PCM: power control module</t>
        </is>
      </c>
      <c r="G4982" s="12" t="inlineStr">
        <is>
          <t>JB-RICE-7-TC02</t>
        </is>
      </c>
      <c r="H4982" s="12" t="inlineStr">
        <is>
          <t>RICE engine-generator 7</t>
        </is>
      </c>
      <c r="I4982" s="12" t="inlineStr">
        <is>
          <t>Instrumentation</t>
        </is>
      </c>
      <c r="J4982" s="12" t="inlineStr">
        <is>
          <t>Thermocouple extension KX, #16 shielded pairs, PLTC</t>
        </is>
      </c>
      <c r="K4982" s="12" t="inlineStr">
        <is>
          <t>TCX|24 pr|16</t>
        </is>
      </c>
      <c r="L4982" s="12" t="inlineStr">
        <is>
          <t>24 pr</t>
        </is>
      </c>
      <c r="M4982" s="12" t="inlineStr">
        <is>
          <t>16</t>
        </is>
      </c>
      <c r="N4982" s="12" t="n">
        <v>1</v>
      </c>
      <c r="O4982" s="12" t="n">
        <v>1</v>
      </c>
      <c r="P4982" s="12" t="n"/>
      <c r="Q4982" s="12" t="n"/>
      <c r="R4982" s="12" t="n"/>
      <c r="S4982" s="12" t="inlineStr">
        <is>
          <t>Duct bank</t>
        </is>
      </c>
      <c r="T4982" s="15" t="n">
        <v>57</v>
      </c>
      <c r="U4982" s="15" t="n">
        <v>125</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I-I-0369</t>
        </is>
      </c>
      <c r="B4983" s="12" t="inlineStr">
        <is>
          <t>I</t>
        </is>
      </c>
      <c r="C4983" s="12" t="inlineStr">
        <is>
          <t>Modular / portable power</t>
        </is>
      </c>
      <c r="D4983" s="12" t="inlineStr">
        <is>
          <t>RTD to JB JB-RICE-7-RTD01: 10 x 1 tri (field cables)</t>
        </is>
      </c>
      <c r="E4983" s="12" t="inlineStr">
        <is>
          <t>RICE-7</t>
        </is>
      </c>
      <c r="F4983" s="12" t="inlineStr">
        <is>
          <t>RICE engine-generator 7</t>
        </is>
      </c>
      <c r="G4983" s="12" t="inlineStr">
        <is>
          <t>JB-RICE-7-RTD01</t>
        </is>
      </c>
      <c r="H4983" s="12" t="inlineStr">
        <is>
          <t>RICE engine-generator 7</t>
        </is>
      </c>
      <c r="I4983" s="12" t="inlineStr">
        <is>
          <t>Instrumentation</t>
        </is>
      </c>
      <c r="J4983" s="12" t="inlineStr">
        <is>
          <t>RTD cable, #18 shielded triads, PLTC</t>
        </is>
      </c>
      <c r="K4983" s="12" t="inlineStr">
        <is>
          <t>RTD|1 tri|18</t>
        </is>
      </c>
      <c r="L4983" s="12" t="inlineStr">
        <is>
          <t>1 tri</t>
        </is>
      </c>
      <c r="M4983" s="12" t="inlineStr">
        <is>
          <t>18</t>
        </is>
      </c>
      <c r="N4983" s="12" t="n">
        <v>10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I-I-0370</t>
        </is>
      </c>
      <c r="B4984" s="12" t="inlineStr">
        <is>
          <t>I</t>
        </is>
      </c>
      <c r="C4984" s="12" t="inlineStr">
        <is>
          <t>Modular / portable power</t>
        </is>
      </c>
      <c r="D4984" s="12" t="inlineStr">
        <is>
          <t>Home run JB-RICE-7-RTD01 to the control / marshalling room</t>
        </is>
      </c>
      <c r="E4984" s="12" t="inlineStr"/>
      <c r="F4984" s="12" t="inlineStr">
        <is>
          <t>PCM: power control module</t>
        </is>
      </c>
      <c r="G4984" s="12" t="inlineStr">
        <is>
          <t>JB-RICE-7-RTD01</t>
        </is>
      </c>
      <c r="H4984" s="12" t="inlineStr">
        <is>
          <t>RICE engine-generator 7</t>
        </is>
      </c>
      <c r="I4984" s="12" t="inlineStr">
        <is>
          <t>Instrumentation</t>
        </is>
      </c>
      <c r="J4984" s="12" t="inlineStr">
        <is>
          <t>RTD cable, #18 shielded triads, PLTC</t>
        </is>
      </c>
      <c r="K4984" s="12" t="inlineStr">
        <is>
          <t>RTD|12 tri|18</t>
        </is>
      </c>
      <c r="L4984" s="12" t="inlineStr">
        <is>
          <t>12 tri</t>
        </is>
      </c>
      <c r="M4984" s="12" t="inlineStr">
        <is>
          <t>18</t>
        </is>
      </c>
      <c r="N4984" s="12" t="n">
        <v>1</v>
      </c>
      <c r="O4984" s="12" t="n">
        <v>1</v>
      </c>
      <c r="P4984" s="12" t="n"/>
      <c r="Q4984" s="12" t="n"/>
      <c r="R4984" s="12" t="n"/>
      <c r="S4984" s="12" t="inlineStr">
        <is>
          <t>Duct bank</t>
        </is>
      </c>
      <c r="T4984" s="15" t="n">
        <v>57</v>
      </c>
      <c r="U4984" s="15" t="n">
        <v>125</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I-I-0371</t>
        </is>
      </c>
      <c r="B4985" s="12" t="inlineStr">
        <is>
          <t>I</t>
        </is>
      </c>
      <c r="C4985" s="12" t="inlineStr">
        <is>
          <t>Modular / portable power</t>
        </is>
      </c>
      <c r="D4985" s="12" t="inlineStr">
        <is>
          <t>RTD to JB JB-RICE-7-RTD02: 2 x 1 tri (field cables)</t>
        </is>
      </c>
      <c r="E4985" s="12" t="inlineStr">
        <is>
          <t>RICE-7</t>
        </is>
      </c>
      <c r="F4985" s="12" t="inlineStr">
        <is>
          <t>RICE engine-generator 7</t>
        </is>
      </c>
      <c r="G4985" s="12" t="inlineStr">
        <is>
          <t>JB-RICE-7-RTD02</t>
        </is>
      </c>
      <c r="H4985" s="12" t="inlineStr">
        <is>
          <t>RICE engine-generator 7</t>
        </is>
      </c>
      <c r="I4985" s="12" t="inlineStr">
        <is>
          <t>Instrumentation</t>
        </is>
      </c>
      <c r="J4985" s="12" t="inlineStr">
        <is>
          <t>RTD cable, #18 shielded triads, PLTC</t>
        </is>
      </c>
      <c r="K4985" s="12" t="inlineStr">
        <is>
          <t>RTD|1 tri|18</t>
        </is>
      </c>
      <c r="L4985" s="12" t="inlineStr">
        <is>
          <t>1 tri</t>
        </is>
      </c>
      <c r="M4985" s="12" t="inlineStr">
        <is>
          <t>18</t>
        </is>
      </c>
      <c r="N4985" s="12" t="n">
        <v>2</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I-I-0372</t>
        </is>
      </c>
      <c r="B4986" s="12" t="inlineStr">
        <is>
          <t>I</t>
        </is>
      </c>
      <c r="C4986" s="12" t="inlineStr">
        <is>
          <t>Modular / portable power</t>
        </is>
      </c>
      <c r="D4986" s="12" t="inlineStr">
        <is>
          <t>Home run JB-RICE-7-RTD02 to the control / marshalling room</t>
        </is>
      </c>
      <c r="E4986" s="12" t="inlineStr"/>
      <c r="F4986" s="12" t="inlineStr">
        <is>
          <t>PCM: power control module</t>
        </is>
      </c>
      <c r="G4986" s="12" t="inlineStr">
        <is>
          <t>JB-RICE-7-RTD02</t>
        </is>
      </c>
      <c r="H4986" s="12" t="inlineStr">
        <is>
          <t>RICE engine-generator 7</t>
        </is>
      </c>
      <c r="I4986" s="12" t="inlineStr">
        <is>
          <t>Instrumentation</t>
        </is>
      </c>
      <c r="J4986" s="12" t="inlineStr">
        <is>
          <t>RTD cable, #18 shielded triads, PLTC</t>
        </is>
      </c>
      <c r="K4986" s="12" t="inlineStr">
        <is>
          <t>RTD|12 tri|18</t>
        </is>
      </c>
      <c r="L4986" s="12" t="inlineStr">
        <is>
          <t>12 tri</t>
        </is>
      </c>
      <c r="M4986" s="12" t="inlineStr">
        <is>
          <t>18</t>
        </is>
      </c>
      <c r="N4986" s="12" t="n">
        <v>1</v>
      </c>
      <c r="O4986" s="12" t="n">
        <v>1</v>
      </c>
      <c r="P4986" s="12" t="n"/>
      <c r="Q4986" s="12" t="n"/>
      <c r="R4986" s="12" t="n"/>
      <c r="S4986" s="12" t="inlineStr">
        <is>
          <t>Duct bank</t>
        </is>
      </c>
      <c r="T4986" s="15" t="n">
        <v>57</v>
      </c>
      <c r="U4986" s="15" t="n">
        <v>125</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I-I-0373</t>
        </is>
      </c>
      <c r="B4987" s="12" t="inlineStr">
        <is>
          <t>I</t>
        </is>
      </c>
      <c r="C4987" s="12" t="inlineStr">
        <is>
          <t>Modular / portable power</t>
        </is>
      </c>
      <c r="D4987" s="12" t="inlineStr">
        <is>
          <t>Analog instrument to JB JB-RICE-8-AI01: 20 x 1 pr (field cables)</t>
        </is>
      </c>
      <c r="E4987" s="12" t="inlineStr">
        <is>
          <t>RICE-8</t>
        </is>
      </c>
      <c r="F4987" s="12" t="inlineStr">
        <is>
          <t>RICE engine-generator 8</t>
        </is>
      </c>
      <c r="G4987" s="12" t="inlineStr">
        <is>
          <t>JB-RICE-8-AI01</t>
        </is>
      </c>
      <c r="H4987" s="12" t="inlineStr">
        <is>
          <t>RICE engine-generator 8</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I-I-0374</t>
        </is>
      </c>
      <c r="B4988" s="12" t="inlineStr">
        <is>
          <t>I</t>
        </is>
      </c>
      <c r="C4988" s="12" t="inlineStr">
        <is>
          <t>Modular / portable power</t>
        </is>
      </c>
      <c r="D4988" s="12" t="inlineStr">
        <is>
          <t>Home run JB-RICE-8-AI01 to the control / marshalling room</t>
        </is>
      </c>
      <c r="E4988" s="12" t="inlineStr"/>
      <c r="F4988" s="12" t="inlineStr">
        <is>
          <t>PCM: power control module</t>
        </is>
      </c>
      <c r="G4988" s="12" t="inlineStr">
        <is>
          <t>JB-RICE-8-AI01</t>
        </is>
      </c>
      <c r="H4988" s="12" t="inlineStr">
        <is>
          <t>RICE engine-generator 8</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I-I-0375</t>
        </is>
      </c>
      <c r="B4989" s="12" t="inlineStr">
        <is>
          <t>I</t>
        </is>
      </c>
      <c r="C4989" s="12" t="inlineStr">
        <is>
          <t>Modular / portable power</t>
        </is>
      </c>
      <c r="D4989" s="12" t="inlineStr">
        <is>
          <t>Analog instrument to JB JB-RICE-8-AI02: 20 x 1 pr (field cables)</t>
        </is>
      </c>
      <c r="E4989" s="12" t="inlineStr">
        <is>
          <t>RICE-8</t>
        </is>
      </c>
      <c r="F4989" s="12" t="inlineStr">
        <is>
          <t>RICE engine-generator 8</t>
        </is>
      </c>
      <c r="G4989" s="12" t="inlineStr">
        <is>
          <t>JB-RICE-8-AI02</t>
        </is>
      </c>
      <c r="H4989" s="12" t="inlineStr">
        <is>
          <t>RICE engine-generator 8</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I-I-0376</t>
        </is>
      </c>
      <c r="B4990" s="12" t="inlineStr">
        <is>
          <t>I</t>
        </is>
      </c>
      <c r="C4990" s="12" t="inlineStr">
        <is>
          <t>Modular / portable power</t>
        </is>
      </c>
      <c r="D4990" s="12" t="inlineStr">
        <is>
          <t>Home run JB-RICE-8-AI02 to the control / marshalling room</t>
        </is>
      </c>
      <c r="E4990" s="12" t="inlineStr"/>
      <c r="F4990" s="12" t="inlineStr">
        <is>
          <t>PCM: power control module</t>
        </is>
      </c>
      <c r="G4990" s="12" t="inlineStr">
        <is>
          <t>JB-RICE-8-AI02</t>
        </is>
      </c>
      <c r="H4990" s="12" t="inlineStr">
        <is>
          <t>RICE engine-generator 8</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I-I-0377</t>
        </is>
      </c>
      <c r="B4991" s="12" t="inlineStr">
        <is>
          <t>I</t>
        </is>
      </c>
      <c r="C4991" s="12" t="inlineStr">
        <is>
          <t>Modular / portable power</t>
        </is>
      </c>
      <c r="D4991" s="12" t="inlineStr">
        <is>
          <t>Analog instrument to JB JB-RICE-8-AI03: 20 x 1 pr (field cables)</t>
        </is>
      </c>
      <c r="E4991" s="12" t="inlineStr">
        <is>
          <t>RICE-8</t>
        </is>
      </c>
      <c r="F4991" s="12" t="inlineStr">
        <is>
          <t>RICE engine-generator 8</t>
        </is>
      </c>
      <c r="G4991" s="12" t="inlineStr">
        <is>
          <t>JB-RICE-8-AI03</t>
        </is>
      </c>
      <c r="H4991" s="12" t="inlineStr">
        <is>
          <t>RICE engine-generator 8</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I-I-0378</t>
        </is>
      </c>
      <c r="B4992" s="12" t="inlineStr">
        <is>
          <t>I</t>
        </is>
      </c>
      <c r="C4992" s="12" t="inlineStr">
        <is>
          <t>Modular / portable power</t>
        </is>
      </c>
      <c r="D4992" s="12" t="inlineStr">
        <is>
          <t>Home run JB-RICE-8-AI03 to the control / marshalling room</t>
        </is>
      </c>
      <c r="E4992" s="12" t="inlineStr"/>
      <c r="F4992" s="12" t="inlineStr">
        <is>
          <t>PCM: power control module</t>
        </is>
      </c>
      <c r="G4992" s="12" t="inlineStr">
        <is>
          <t>JB-RICE-8-AI03</t>
        </is>
      </c>
      <c r="H4992" s="12" t="inlineStr">
        <is>
          <t>RICE engine-generator 8</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I-I-0379</t>
        </is>
      </c>
      <c r="B4993" s="12" t="inlineStr">
        <is>
          <t>I</t>
        </is>
      </c>
      <c r="C4993" s="12" t="inlineStr">
        <is>
          <t>Modular / portable power</t>
        </is>
      </c>
      <c r="D4993" s="12" t="inlineStr">
        <is>
          <t>Analog instrument to JB JB-RICE-8-AI04: 20 x 1 pr (field cables)</t>
        </is>
      </c>
      <c r="E4993" s="12" t="inlineStr">
        <is>
          <t>RICE-8</t>
        </is>
      </c>
      <c r="F4993" s="12" t="inlineStr">
        <is>
          <t>RICE engine-generator 8</t>
        </is>
      </c>
      <c r="G4993" s="12" t="inlineStr">
        <is>
          <t>JB-RICE-8-AI04</t>
        </is>
      </c>
      <c r="H4993" s="12" t="inlineStr">
        <is>
          <t>RICE engine-generator 8</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5" t="n">
        <v>72</v>
      </c>
      <c r="U4993" s="15" t="n">
        <v>10</v>
      </c>
      <c r="V4993" s="15">
        <f>ROUNDUP((T4993+U4993+2*'Read Me'!$B$13)*(1+'Read Me'!$B$12),-1)</f>
        <v/>
      </c>
      <c r="W4993" s="15">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I-I-0380</t>
        </is>
      </c>
      <c r="B4994" s="12" t="inlineStr">
        <is>
          <t>I</t>
        </is>
      </c>
      <c r="C4994" s="12" t="inlineStr">
        <is>
          <t>Modular / portable power</t>
        </is>
      </c>
      <c r="D4994" s="12" t="inlineStr">
        <is>
          <t>Home run JB-RICE-8-AI04 to the control / marshalling room</t>
        </is>
      </c>
      <c r="E4994" s="12" t="inlineStr"/>
      <c r="F4994" s="12" t="inlineStr">
        <is>
          <t>PCM: power control module</t>
        </is>
      </c>
      <c r="G4994" s="12" t="inlineStr">
        <is>
          <t>JB-RICE-8-AI04</t>
        </is>
      </c>
      <c r="H4994" s="12" t="inlineStr">
        <is>
          <t>RICE engine-generator 8</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5" t="n">
        <v>57</v>
      </c>
      <c r="U4994" s="15" t="n">
        <v>97</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I-I-0381</t>
        </is>
      </c>
      <c r="B4995" s="12" t="inlineStr">
        <is>
          <t>I</t>
        </is>
      </c>
      <c r="C4995" s="12" t="inlineStr">
        <is>
          <t>Modular / portable power</t>
        </is>
      </c>
      <c r="D4995" s="12" t="inlineStr">
        <is>
          <t>Discrete device to JB JB-RICE-8-DI01: 20 x 1 pr (field cables)</t>
        </is>
      </c>
      <c r="E4995" s="12" t="inlineStr">
        <is>
          <t>RICE-8</t>
        </is>
      </c>
      <c r="F4995" s="12" t="inlineStr">
        <is>
          <t>RICE engine-generator 8</t>
        </is>
      </c>
      <c r="G4995" s="12" t="inlineStr">
        <is>
          <t>JB-RICE-8-DI01</t>
        </is>
      </c>
      <c r="H4995" s="12" t="inlineStr">
        <is>
          <t>RICE engine-generator 8</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5" t="n">
        <v>72</v>
      </c>
      <c r="U4995" s="15" t="n">
        <v>10</v>
      </c>
      <c r="V4995" s="15">
        <f>ROUNDUP((T4995+U4995+2*'Read Me'!$B$13)*(1+'Read Me'!$B$12),-1)</f>
        <v/>
      </c>
      <c r="W4995" s="15">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I-I-0382</t>
        </is>
      </c>
      <c r="B4996" s="12" t="inlineStr">
        <is>
          <t>I</t>
        </is>
      </c>
      <c r="C4996" s="12" t="inlineStr">
        <is>
          <t>Modular / portable power</t>
        </is>
      </c>
      <c r="D4996" s="12" t="inlineStr">
        <is>
          <t>Home run JB-RICE-8-DI01 to the control / marshalling room</t>
        </is>
      </c>
      <c r="E4996" s="12" t="inlineStr"/>
      <c r="F4996" s="12" t="inlineStr">
        <is>
          <t>PCM: power control module</t>
        </is>
      </c>
      <c r="G4996" s="12" t="inlineStr">
        <is>
          <t>JB-RICE-8-DI01</t>
        </is>
      </c>
      <c r="H4996" s="12" t="inlineStr">
        <is>
          <t>RICE engine-generator 8</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5" t="n">
        <v>57</v>
      </c>
      <c r="U4996" s="15" t="n">
        <v>97</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I-I-0383</t>
        </is>
      </c>
      <c r="B4997" s="12" t="inlineStr">
        <is>
          <t>I</t>
        </is>
      </c>
      <c r="C4997" s="12" t="inlineStr">
        <is>
          <t>Modular / portable power</t>
        </is>
      </c>
      <c r="D4997" s="12" t="inlineStr">
        <is>
          <t>Discrete device to JB JB-RICE-8-DI02: 20 x 1 pr (field cables)</t>
        </is>
      </c>
      <c r="E4997" s="12" t="inlineStr">
        <is>
          <t>RICE-8</t>
        </is>
      </c>
      <c r="F4997" s="12" t="inlineStr">
        <is>
          <t>RICE engine-generator 8</t>
        </is>
      </c>
      <c r="G4997" s="12" t="inlineStr">
        <is>
          <t>JB-RICE-8-DI02</t>
        </is>
      </c>
      <c r="H4997" s="12" t="inlineStr">
        <is>
          <t>RICE engine-generator 8</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5" t="n">
        <v>72</v>
      </c>
      <c r="U4997" s="15" t="n">
        <v>10</v>
      </c>
      <c r="V4997" s="15">
        <f>ROUNDUP((T4997+U4997+2*'Read Me'!$B$13)*(1+'Read Me'!$B$12),-1)</f>
        <v/>
      </c>
      <c r="W4997" s="15">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I-I-0384</t>
        </is>
      </c>
      <c r="B4998" s="12" t="inlineStr">
        <is>
          <t>I</t>
        </is>
      </c>
      <c r="C4998" s="12" t="inlineStr">
        <is>
          <t>Modular / portable power</t>
        </is>
      </c>
      <c r="D4998" s="12" t="inlineStr">
        <is>
          <t>Home run JB-RICE-8-DI02 to the control / marshalling room</t>
        </is>
      </c>
      <c r="E4998" s="12" t="inlineStr"/>
      <c r="F4998" s="12" t="inlineStr">
        <is>
          <t>PCM: power control module</t>
        </is>
      </c>
      <c r="G4998" s="12" t="inlineStr">
        <is>
          <t>JB-RICE-8-DI02</t>
        </is>
      </c>
      <c r="H4998" s="12" t="inlineStr">
        <is>
          <t>RICE engine-generator 8</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5" t="n">
        <v>57</v>
      </c>
      <c r="U4998" s="15" t="n">
        <v>97</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I-I-0385</t>
        </is>
      </c>
      <c r="B4999" s="12" t="inlineStr">
        <is>
          <t>I</t>
        </is>
      </c>
      <c r="C4999" s="12" t="inlineStr">
        <is>
          <t>Modular / portable power</t>
        </is>
      </c>
      <c r="D4999" s="12" t="inlineStr">
        <is>
          <t>Discrete device to JB JB-RICE-8-DI03: 20 x 1 pr (field cables)</t>
        </is>
      </c>
      <c r="E4999" s="12" t="inlineStr">
        <is>
          <t>RICE-8</t>
        </is>
      </c>
      <c r="F4999" s="12" t="inlineStr">
        <is>
          <t>RICE engine-generator 8</t>
        </is>
      </c>
      <c r="G4999" s="12" t="inlineStr">
        <is>
          <t>JB-RICE-8-DI03</t>
        </is>
      </c>
      <c r="H4999" s="12" t="inlineStr">
        <is>
          <t>RICE engine-generator 8</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5" t="n">
        <v>72</v>
      </c>
      <c r="U4999" s="15" t="n">
        <v>10</v>
      </c>
      <c r="V4999" s="15">
        <f>ROUNDUP((T4999+U4999+2*'Read Me'!$B$13)*(1+'Read Me'!$B$12),-1)</f>
        <v/>
      </c>
      <c r="W4999" s="15">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I-I-0386</t>
        </is>
      </c>
      <c r="B5000" s="12" t="inlineStr">
        <is>
          <t>I</t>
        </is>
      </c>
      <c r="C5000" s="12" t="inlineStr">
        <is>
          <t>Modular / portable power</t>
        </is>
      </c>
      <c r="D5000" s="12" t="inlineStr">
        <is>
          <t>Home run JB-RICE-8-DI03 to the control / marshalling room</t>
        </is>
      </c>
      <c r="E5000" s="12" t="inlineStr"/>
      <c r="F5000" s="12" t="inlineStr">
        <is>
          <t>PCM: power control module</t>
        </is>
      </c>
      <c r="G5000" s="12" t="inlineStr">
        <is>
          <t>JB-RICE-8-DI03</t>
        </is>
      </c>
      <c r="H5000" s="12" t="inlineStr">
        <is>
          <t>RICE engine-generator 8</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5" t="n">
        <v>57</v>
      </c>
      <c r="U5000" s="15" t="n">
        <v>97</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I-I-0387</t>
        </is>
      </c>
      <c r="B5001" s="12" t="inlineStr">
        <is>
          <t>I</t>
        </is>
      </c>
      <c r="C5001" s="12" t="inlineStr">
        <is>
          <t>Modular / portable power</t>
        </is>
      </c>
      <c r="D5001" s="12" t="inlineStr">
        <is>
          <t>Thermocouple to TC JB JB-RICE-8-TC01: 20 x 1 pr (field cables)</t>
        </is>
      </c>
      <c r="E5001" s="12" t="inlineStr">
        <is>
          <t>RICE-8</t>
        </is>
      </c>
      <c r="F5001" s="12" t="inlineStr">
        <is>
          <t>RICE engine-generator 8</t>
        </is>
      </c>
      <c r="G5001" s="12" t="inlineStr">
        <is>
          <t>JB-RICE-8-TC01</t>
        </is>
      </c>
      <c r="H5001" s="12" t="inlineStr">
        <is>
          <t>RICE engine-generator 8</t>
        </is>
      </c>
      <c r="I5001" s="12" t="inlineStr">
        <is>
          <t>Instrumentation</t>
        </is>
      </c>
      <c r="J5001" s="12" t="inlineStr">
        <is>
          <t>Thermocouple extension KX, #16 shielded pairs, PLTC</t>
        </is>
      </c>
      <c r="K5001" s="12" t="inlineStr">
        <is>
          <t>TCX|1 pr|16</t>
        </is>
      </c>
      <c r="L5001" s="12" t="inlineStr">
        <is>
          <t>1 pr</t>
        </is>
      </c>
      <c r="M5001" s="12" t="inlineStr">
        <is>
          <t>16</t>
        </is>
      </c>
      <c r="N5001" s="12" t="n">
        <v>20</v>
      </c>
      <c r="O5001" s="12" t="n">
        <v>1</v>
      </c>
      <c r="P5001" s="12" t="n"/>
      <c r="Q5001" s="12" t="n"/>
      <c r="R5001" s="12" t="n"/>
      <c r="S5001" s="12" t="inlineStr">
        <is>
          <t>Tray / conduit</t>
        </is>
      </c>
      <c r="T5001" s="15" t="n">
        <v>72</v>
      </c>
      <c r="U5001" s="15" t="n">
        <v>10</v>
      </c>
      <c r="V5001" s="15">
        <f>ROUNDUP((T5001+U5001+2*'Read Me'!$B$13)*(1+'Read Me'!$B$12),-1)</f>
        <v/>
      </c>
      <c r="W5001" s="15">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I-I-0388</t>
        </is>
      </c>
      <c r="B5002" s="12" t="inlineStr">
        <is>
          <t>I</t>
        </is>
      </c>
      <c r="C5002" s="12" t="inlineStr">
        <is>
          <t>Modular / portable power</t>
        </is>
      </c>
      <c r="D5002" s="12" t="inlineStr">
        <is>
          <t>Home run JB-RICE-8-TC01 to the control / marshalling room</t>
        </is>
      </c>
      <c r="E5002" s="12" t="inlineStr"/>
      <c r="F5002" s="12" t="inlineStr">
        <is>
          <t>PCM: power control module</t>
        </is>
      </c>
      <c r="G5002" s="12" t="inlineStr">
        <is>
          <t>JB-RICE-8-TC01</t>
        </is>
      </c>
      <c r="H5002" s="12" t="inlineStr">
        <is>
          <t>RICE engine-generator 8</t>
        </is>
      </c>
      <c r="I5002" s="12" t="inlineStr">
        <is>
          <t>Instrumentation</t>
        </is>
      </c>
      <c r="J5002" s="12" t="inlineStr">
        <is>
          <t>Thermocouple extension KX, #16 shielded pairs, PLTC</t>
        </is>
      </c>
      <c r="K5002" s="12" t="inlineStr">
        <is>
          <t>TCX|24 pr|16</t>
        </is>
      </c>
      <c r="L5002" s="12" t="inlineStr">
        <is>
          <t>24 pr</t>
        </is>
      </c>
      <c r="M5002" s="12" t="inlineStr">
        <is>
          <t>16</t>
        </is>
      </c>
      <c r="N5002" s="12" t="n">
        <v>1</v>
      </c>
      <c r="O5002" s="12" t="n">
        <v>1</v>
      </c>
      <c r="P5002" s="12" t="n"/>
      <c r="Q5002" s="12" t="n"/>
      <c r="R5002" s="12" t="n"/>
      <c r="S5002" s="12" t="inlineStr">
        <is>
          <t>Duct bank</t>
        </is>
      </c>
      <c r="T5002" s="15" t="n">
        <v>57</v>
      </c>
      <c r="U5002" s="15" t="n">
        <v>97</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I-I-0389</t>
        </is>
      </c>
      <c r="B5003" s="12" t="inlineStr">
        <is>
          <t>I</t>
        </is>
      </c>
      <c r="C5003" s="12" t="inlineStr">
        <is>
          <t>Modular / portable power</t>
        </is>
      </c>
      <c r="D5003" s="12" t="inlineStr">
        <is>
          <t>Thermocouple to TC JB JB-RICE-8-TC02: 10 x 1 pr (field cables)</t>
        </is>
      </c>
      <c r="E5003" s="12" t="inlineStr">
        <is>
          <t>RICE-8</t>
        </is>
      </c>
      <c r="F5003" s="12" t="inlineStr">
        <is>
          <t>RICE engine-generator 8</t>
        </is>
      </c>
      <c r="G5003" s="12" t="inlineStr">
        <is>
          <t>JB-RICE-8-TC02</t>
        </is>
      </c>
      <c r="H5003" s="12" t="inlineStr">
        <is>
          <t>RICE engine-generator 8</t>
        </is>
      </c>
      <c r="I5003" s="12" t="inlineStr">
        <is>
          <t>Instrumentation</t>
        </is>
      </c>
      <c r="J5003" s="12" t="inlineStr">
        <is>
          <t>Thermocouple extension KX, #16 shielded pairs, PLTC</t>
        </is>
      </c>
      <c r="K5003" s="12" t="inlineStr">
        <is>
          <t>TCX|1 pr|16</t>
        </is>
      </c>
      <c r="L5003" s="12" t="inlineStr">
        <is>
          <t>1 pr</t>
        </is>
      </c>
      <c r="M5003" s="12" t="inlineStr">
        <is>
          <t>16</t>
        </is>
      </c>
      <c r="N5003" s="12" t="n">
        <v>10</v>
      </c>
      <c r="O5003" s="12" t="n">
        <v>1</v>
      </c>
      <c r="P5003" s="12" t="n"/>
      <c r="Q5003" s="12" t="n"/>
      <c r="R5003" s="12" t="n"/>
      <c r="S5003" s="12" t="inlineStr">
        <is>
          <t>Tray / conduit</t>
        </is>
      </c>
      <c r="T5003" s="15" t="n">
        <v>72</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I-I-0390</t>
        </is>
      </c>
      <c r="B5004" s="12" t="inlineStr">
        <is>
          <t>I</t>
        </is>
      </c>
      <c r="C5004" s="12" t="inlineStr">
        <is>
          <t>Modular / portable power</t>
        </is>
      </c>
      <c r="D5004" s="12" t="inlineStr">
        <is>
          <t>Home run JB-RICE-8-TC02 to the control / marshalling room</t>
        </is>
      </c>
      <c r="E5004" s="12" t="inlineStr"/>
      <c r="F5004" s="12" t="inlineStr">
        <is>
          <t>PCM: power control module</t>
        </is>
      </c>
      <c r="G5004" s="12" t="inlineStr">
        <is>
          <t>JB-RICE-8-TC02</t>
        </is>
      </c>
      <c r="H5004" s="12" t="inlineStr">
        <is>
          <t>RICE engine-generator 8</t>
        </is>
      </c>
      <c r="I5004" s="12" t="inlineStr">
        <is>
          <t>Instrumentation</t>
        </is>
      </c>
      <c r="J5004" s="12" t="inlineStr">
        <is>
          <t>Thermocouple extension KX, #16 shielded pairs, PLTC</t>
        </is>
      </c>
      <c r="K5004" s="12" t="inlineStr">
        <is>
          <t>TCX|24 pr|16</t>
        </is>
      </c>
      <c r="L5004" s="12" t="inlineStr">
        <is>
          <t>24 pr</t>
        </is>
      </c>
      <c r="M5004" s="12" t="inlineStr">
        <is>
          <t>16</t>
        </is>
      </c>
      <c r="N5004" s="12" t="n">
        <v>1</v>
      </c>
      <c r="O5004" s="12" t="n">
        <v>1</v>
      </c>
      <c r="P5004" s="12" t="n"/>
      <c r="Q5004" s="12" t="n"/>
      <c r="R5004" s="12" t="n"/>
      <c r="S5004" s="12" t="inlineStr">
        <is>
          <t>Duct bank</t>
        </is>
      </c>
      <c r="T5004" s="15" t="n">
        <v>57</v>
      </c>
      <c r="U5004" s="15" t="n">
        <v>97</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I-I-0391</t>
        </is>
      </c>
      <c r="B5005" s="12" t="inlineStr">
        <is>
          <t>I</t>
        </is>
      </c>
      <c r="C5005" s="12" t="inlineStr">
        <is>
          <t>Modular / portable power</t>
        </is>
      </c>
      <c r="D5005" s="12" t="inlineStr">
        <is>
          <t>RTD to JB JB-RICE-8-RTD01: 10 x 1 tri (field cables)</t>
        </is>
      </c>
      <c r="E5005" s="12" t="inlineStr">
        <is>
          <t>RICE-8</t>
        </is>
      </c>
      <c r="F5005" s="12" t="inlineStr">
        <is>
          <t>RICE engine-generator 8</t>
        </is>
      </c>
      <c r="G5005" s="12" t="inlineStr">
        <is>
          <t>JB-RICE-8-RTD01</t>
        </is>
      </c>
      <c r="H5005" s="12" t="inlineStr">
        <is>
          <t>RICE engine-generator 8</t>
        </is>
      </c>
      <c r="I5005" s="12" t="inlineStr">
        <is>
          <t>Instrumentation</t>
        </is>
      </c>
      <c r="J5005" s="12" t="inlineStr">
        <is>
          <t>RTD cable, #18 shielded triads, PLTC</t>
        </is>
      </c>
      <c r="K5005" s="12" t="inlineStr">
        <is>
          <t>RTD|1 tri|18</t>
        </is>
      </c>
      <c r="L5005" s="12" t="inlineStr">
        <is>
          <t>1 tri</t>
        </is>
      </c>
      <c r="M5005" s="12" t="inlineStr">
        <is>
          <t>18</t>
        </is>
      </c>
      <c r="N5005" s="12" t="n">
        <v>10</v>
      </c>
      <c r="O5005" s="12" t="n">
        <v>1</v>
      </c>
      <c r="P5005" s="12" t="n"/>
      <c r="Q5005" s="12" t="n"/>
      <c r="R5005" s="12" t="n"/>
      <c r="S5005" s="12" t="inlineStr">
        <is>
          <t>Tray / conduit</t>
        </is>
      </c>
      <c r="T5005" s="15" t="n">
        <v>72</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I-I-0392</t>
        </is>
      </c>
      <c r="B5006" s="12" t="inlineStr">
        <is>
          <t>I</t>
        </is>
      </c>
      <c r="C5006" s="12" t="inlineStr">
        <is>
          <t>Modular / portable power</t>
        </is>
      </c>
      <c r="D5006" s="12" t="inlineStr">
        <is>
          <t>Home run JB-RICE-8-RTD01 to the control / marshalling room</t>
        </is>
      </c>
      <c r="E5006" s="12" t="inlineStr"/>
      <c r="F5006" s="12" t="inlineStr">
        <is>
          <t>PCM: power control module</t>
        </is>
      </c>
      <c r="G5006" s="12" t="inlineStr">
        <is>
          <t>JB-RICE-8-RTD01</t>
        </is>
      </c>
      <c r="H5006" s="12" t="inlineStr">
        <is>
          <t>RICE engine-generator 8</t>
        </is>
      </c>
      <c r="I5006" s="12" t="inlineStr">
        <is>
          <t>Instrumentation</t>
        </is>
      </c>
      <c r="J5006" s="12" t="inlineStr">
        <is>
          <t>RTD cable, #18 shielded triads, PLTC</t>
        </is>
      </c>
      <c r="K5006" s="12" t="inlineStr">
        <is>
          <t>RTD|12 tri|18</t>
        </is>
      </c>
      <c r="L5006" s="12" t="inlineStr">
        <is>
          <t>12 tri</t>
        </is>
      </c>
      <c r="M5006" s="12" t="inlineStr">
        <is>
          <t>18</t>
        </is>
      </c>
      <c r="N5006" s="12" t="n">
        <v>1</v>
      </c>
      <c r="O5006" s="12" t="n">
        <v>1</v>
      </c>
      <c r="P5006" s="12" t="n"/>
      <c r="Q5006" s="12" t="n"/>
      <c r="R5006" s="12" t="n"/>
      <c r="S5006" s="12" t="inlineStr">
        <is>
          <t>Duct bank</t>
        </is>
      </c>
      <c r="T5006" s="15" t="n">
        <v>57</v>
      </c>
      <c r="U5006" s="15" t="n">
        <v>97</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I-I-0393</t>
        </is>
      </c>
      <c r="B5007" s="12" t="inlineStr">
        <is>
          <t>I</t>
        </is>
      </c>
      <c r="C5007" s="12" t="inlineStr">
        <is>
          <t>Modular / portable power</t>
        </is>
      </c>
      <c r="D5007" s="12" t="inlineStr">
        <is>
          <t>RTD to JB JB-RICE-8-RTD02: 2 x 1 tri (field cables)</t>
        </is>
      </c>
      <c r="E5007" s="12" t="inlineStr">
        <is>
          <t>RICE-8</t>
        </is>
      </c>
      <c r="F5007" s="12" t="inlineStr">
        <is>
          <t>RICE engine-generator 8</t>
        </is>
      </c>
      <c r="G5007" s="12" t="inlineStr">
        <is>
          <t>JB-RICE-8-RTD02</t>
        </is>
      </c>
      <c r="H5007" s="12" t="inlineStr">
        <is>
          <t>RICE engine-generator 8</t>
        </is>
      </c>
      <c r="I5007" s="12" t="inlineStr">
        <is>
          <t>Instrumentation</t>
        </is>
      </c>
      <c r="J5007" s="12" t="inlineStr">
        <is>
          <t>RTD cable, #18 shielded triads, PLTC</t>
        </is>
      </c>
      <c r="K5007" s="12" t="inlineStr">
        <is>
          <t>RTD|1 tri|18</t>
        </is>
      </c>
      <c r="L5007" s="12" t="inlineStr">
        <is>
          <t>1 tri</t>
        </is>
      </c>
      <c r="M5007" s="12" t="inlineStr">
        <is>
          <t>18</t>
        </is>
      </c>
      <c r="N5007" s="12" t="n">
        <v>2</v>
      </c>
      <c r="O5007" s="12" t="n">
        <v>1</v>
      </c>
      <c r="P5007" s="12" t="n"/>
      <c r="Q5007" s="12" t="n"/>
      <c r="R5007" s="12" t="n"/>
      <c r="S5007" s="12" t="inlineStr">
        <is>
          <t>Tray / conduit</t>
        </is>
      </c>
      <c r="T5007" s="15" t="n">
        <v>72</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I-I-0394</t>
        </is>
      </c>
      <c r="B5008" s="12" t="inlineStr">
        <is>
          <t>I</t>
        </is>
      </c>
      <c r="C5008" s="12" t="inlineStr">
        <is>
          <t>Modular / portable power</t>
        </is>
      </c>
      <c r="D5008" s="12" t="inlineStr">
        <is>
          <t>Home run JB-RICE-8-RTD02 to the control / marshalling room</t>
        </is>
      </c>
      <c r="E5008" s="12" t="inlineStr"/>
      <c r="F5008" s="12" t="inlineStr">
        <is>
          <t>PCM: power control module</t>
        </is>
      </c>
      <c r="G5008" s="12" t="inlineStr">
        <is>
          <t>JB-RICE-8-RTD02</t>
        </is>
      </c>
      <c r="H5008" s="12" t="inlineStr">
        <is>
          <t>RICE engine-generator 8</t>
        </is>
      </c>
      <c r="I5008" s="12" t="inlineStr">
        <is>
          <t>Instrumentation</t>
        </is>
      </c>
      <c r="J5008" s="12" t="inlineStr">
        <is>
          <t>RTD cable, #18 shielded triads, PLTC</t>
        </is>
      </c>
      <c r="K5008" s="12" t="inlineStr">
        <is>
          <t>RTD|12 tri|18</t>
        </is>
      </c>
      <c r="L5008" s="12" t="inlineStr">
        <is>
          <t>12 tri</t>
        </is>
      </c>
      <c r="M5008" s="12" t="inlineStr">
        <is>
          <t>18</t>
        </is>
      </c>
      <c r="N5008" s="12" t="n">
        <v>1</v>
      </c>
      <c r="O5008" s="12" t="n">
        <v>1</v>
      </c>
      <c r="P5008" s="12" t="n"/>
      <c r="Q5008" s="12" t="n"/>
      <c r="R5008" s="12" t="n"/>
      <c r="S5008" s="12" t="inlineStr">
        <is>
          <t>Duct bank</t>
        </is>
      </c>
      <c r="T5008" s="15" t="n">
        <v>57</v>
      </c>
      <c r="U5008" s="15" t="n">
        <v>97</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I-I-0395</t>
        </is>
      </c>
      <c r="B5009" s="12" t="inlineStr">
        <is>
          <t>I</t>
        </is>
      </c>
      <c r="C5009" s="12" t="inlineStr">
        <is>
          <t>Modular / portable power</t>
        </is>
      </c>
      <c r="D5009" s="12" t="inlineStr">
        <is>
          <t>RICE-GSU-A monitoring: temperatures, gas relay, oil level</t>
        </is>
      </c>
      <c r="E5009" s="12" t="inlineStr"/>
      <c r="F5009" s="12" t="inlineStr">
        <is>
          <t>PCM: power control module</t>
        </is>
      </c>
      <c r="G5009" s="12" t="inlineStr">
        <is>
          <t>RICE-GSU-A</t>
        </is>
      </c>
      <c r="H5009" s="12" t="inlineStr">
        <is>
          <t>RICE-GSU-A: 13.8 / 34.5 kV group step-up, ~45 MVA (RICE 1-2)</t>
        </is>
      </c>
      <c r="I5009" s="12" t="inlineStr">
        <is>
          <t>Instrumentation</t>
        </is>
      </c>
      <c r="J5009" s="12" t="inlineStr">
        <is>
          <t>Instrumentation ITC / PLTC, IS, #18 shielded pairs, blue jacket</t>
        </is>
      </c>
      <c r="K5009" s="12" t="inlineStr">
        <is>
          <t>ITC|4 pr|18</t>
        </is>
      </c>
      <c r="L5009" s="12" t="inlineStr">
        <is>
          <t>4 pr</t>
        </is>
      </c>
      <c r="M5009" s="12" t="inlineStr">
        <is>
          <t>18</t>
        </is>
      </c>
      <c r="N5009" s="12" t="n">
        <v>1</v>
      </c>
      <c r="O5009" s="12" t="n">
        <v>1</v>
      </c>
      <c r="P5009" s="12" t="n"/>
      <c r="Q5009" s="12" t="n"/>
      <c r="R5009" s="12" t="n"/>
      <c r="S5009" s="12" t="inlineStr">
        <is>
          <t>Duct bank</t>
        </is>
      </c>
      <c r="T5009" s="15" t="n">
        <v>78</v>
      </c>
      <c r="U5009" s="15" t="n">
        <v>32</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I-I-0396</t>
        </is>
      </c>
      <c r="B5010" s="12" t="inlineStr">
        <is>
          <t>I</t>
        </is>
      </c>
      <c r="C5010" s="12" t="inlineStr">
        <is>
          <t>Modular / portable power</t>
        </is>
      </c>
      <c r="D5010" s="12" t="inlineStr">
        <is>
          <t>RICE-GSU-B monitoring: temperatures, gas relay, oil level</t>
        </is>
      </c>
      <c r="E5010" s="12" t="inlineStr"/>
      <c r="F5010" s="12" t="inlineStr">
        <is>
          <t>PCM: power control module</t>
        </is>
      </c>
      <c r="G5010" s="12" t="inlineStr">
        <is>
          <t>RICE-GSU-B</t>
        </is>
      </c>
      <c r="H5010" s="12" t="inlineStr">
        <is>
          <t>RICE-GSU-B: 13.8 / 34.5 kV group step-up, ~45 MVA (RICE 3-4)</t>
        </is>
      </c>
      <c r="I5010" s="12" t="inlineStr">
        <is>
          <t>Instrumentation</t>
        </is>
      </c>
      <c r="J5010" s="12" t="inlineStr">
        <is>
          <t>Instrumentation ITC / PLTC, IS, #18 shielded pairs, blue jacket</t>
        </is>
      </c>
      <c r="K5010" s="12" t="inlineStr">
        <is>
          <t>ITC|4 pr|18</t>
        </is>
      </c>
      <c r="L5010" s="12" t="inlineStr">
        <is>
          <t>4 pr</t>
        </is>
      </c>
      <c r="M5010" s="12" t="inlineStr">
        <is>
          <t>18</t>
        </is>
      </c>
      <c r="N5010" s="12" t="n">
        <v>1</v>
      </c>
      <c r="O5010" s="12" t="n">
        <v>1</v>
      </c>
      <c r="P5010" s="12" t="n"/>
      <c r="Q5010" s="12" t="n"/>
      <c r="R5010" s="12" t="n"/>
      <c r="S5010" s="12" t="inlineStr">
        <is>
          <t>Duct bank</t>
        </is>
      </c>
      <c r="T5010" s="15" t="n">
        <v>105</v>
      </c>
      <c r="U5010" s="15" t="n">
        <v>32</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I-I-0397</t>
        </is>
      </c>
      <c r="B5011" s="12" t="inlineStr">
        <is>
          <t>I</t>
        </is>
      </c>
      <c r="C5011" s="12" t="inlineStr">
        <is>
          <t>Modular / portable power</t>
        </is>
      </c>
      <c r="D5011" s="12" t="inlineStr">
        <is>
          <t>RICE-GSU-C monitoring: temperatures, gas relay, oil level</t>
        </is>
      </c>
      <c r="E5011" s="12" t="inlineStr"/>
      <c r="F5011" s="12" t="inlineStr">
        <is>
          <t>PCM: power control module</t>
        </is>
      </c>
      <c r="G5011" s="12" t="inlineStr">
        <is>
          <t>RICE-GSU-C</t>
        </is>
      </c>
      <c r="H5011" s="12" t="inlineStr">
        <is>
          <t>RICE-GSU-C: 13.8 / 34.5 kV group step-up, ~45 MVA (RICE 5-6)</t>
        </is>
      </c>
      <c r="I5011" s="12" t="inlineStr">
        <is>
          <t>Instrumentation</t>
        </is>
      </c>
      <c r="J5011" s="12" t="inlineStr">
        <is>
          <t>Instrumentation ITC / PLTC, IS, #18 shielded pairs, blue jacket</t>
        </is>
      </c>
      <c r="K5011" s="12" t="inlineStr">
        <is>
          <t>ITC|4 pr|18</t>
        </is>
      </c>
      <c r="L5011" s="12" t="inlineStr">
        <is>
          <t>4 pr</t>
        </is>
      </c>
      <c r="M5011" s="12" t="inlineStr">
        <is>
          <t>18</t>
        </is>
      </c>
      <c r="N5011" s="12" t="n">
        <v>1</v>
      </c>
      <c r="O5011" s="12" t="n">
        <v>1</v>
      </c>
      <c r="P5011" s="12" t="n"/>
      <c r="Q5011" s="12" t="n"/>
      <c r="R5011" s="12" t="n"/>
      <c r="S5011" s="12" t="inlineStr">
        <is>
          <t>Duct bank</t>
        </is>
      </c>
      <c r="T5011" s="15" t="n">
        <v>132</v>
      </c>
      <c r="U5011" s="15" t="n">
        <v>32</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I-I-0398</t>
        </is>
      </c>
      <c r="B5012" s="12" t="inlineStr">
        <is>
          <t>I</t>
        </is>
      </c>
      <c r="C5012" s="12" t="inlineStr">
        <is>
          <t>Modular / portable power</t>
        </is>
      </c>
      <c r="D5012" s="12" t="inlineStr">
        <is>
          <t>RICE-GSU-D monitoring: temperatures, gas relay, oil level</t>
        </is>
      </c>
      <c r="E5012" s="12" t="inlineStr"/>
      <c r="F5012" s="12" t="inlineStr">
        <is>
          <t>PCM: power control module</t>
        </is>
      </c>
      <c r="G5012" s="12" t="inlineStr">
        <is>
          <t>RICE-GSU-D</t>
        </is>
      </c>
      <c r="H5012" s="12" t="inlineStr">
        <is>
          <t>RICE-GSU-D: 13.8 / 34.5 kV group step-up, ~45 MVA (RICE 7-8)</t>
        </is>
      </c>
      <c r="I5012" s="12" t="inlineStr">
        <is>
          <t>Instrumentation</t>
        </is>
      </c>
      <c r="J5012" s="12" t="inlineStr">
        <is>
          <t>Instrumentation ITC / PLTC, IS, #18 shielded pairs, blue jacket</t>
        </is>
      </c>
      <c r="K5012" s="12" t="inlineStr">
        <is>
          <t>ITC|4 pr|18</t>
        </is>
      </c>
      <c r="L5012" s="12" t="inlineStr">
        <is>
          <t>4 pr</t>
        </is>
      </c>
      <c r="M5012" s="12" t="inlineStr">
        <is>
          <t>18</t>
        </is>
      </c>
      <c r="N5012" s="12" t="n">
        <v>1</v>
      </c>
      <c r="O5012" s="12" t="n">
        <v>1</v>
      </c>
      <c r="P5012" s="12" t="n"/>
      <c r="Q5012" s="12" t="n"/>
      <c r="R5012" s="12" t="n"/>
      <c r="S5012" s="12" t="inlineStr">
        <is>
          <t>Duct bank</t>
        </is>
      </c>
      <c r="T5012" s="15" t="n">
        <v>159</v>
      </c>
      <c r="U5012" s="15" t="n">
        <v>32</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I-I-0399</t>
        </is>
      </c>
      <c r="B5013" s="12" t="inlineStr">
        <is>
          <t>I</t>
        </is>
      </c>
      <c r="C5013" s="12" t="inlineStr">
        <is>
          <t>Modular / portable power</t>
        </is>
      </c>
      <c r="D5013" s="12" t="inlineStr">
        <is>
          <t>Instrumentation</t>
        </is>
      </c>
      <c r="E5013" s="12" t="inlineStr"/>
      <c r="F5013" s="12" t="inlineStr">
        <is>
          <t>PCM: power control module</t>
        </is>
      </c>
      <c r="G5013" s="12" t="inlineStr"/>
      <c r="H5013" s="12" t="inlineStr">
        <is>
          <t>Reagent storage</t>
        </is>
      </c>
      <c r="I5013" s="12" t="inlineStr">
        <is>
          <t>Instrumentation</t>
        </is>
      </c>
      <c r="J5013" s="12" t="inlineStr">
        <is>
          <t>Instrumentation PLTC / TC-ER 300 V, #18 twisted shielded pairs, overall shield</t>
        </is>
      </c>
      <c r="K5013" s="12" t="inlineStr">
        <is>
          <t>PLTC|4 pr|18</t>
        </is>
      </c>
      <c r="L5013" s="12" t="inlineStr">
        <is>
          <t>4 pr</t>
        </is>
      </c>
      <c r="M5013" s="12" t="inlineStr">
        <is>
          <t>18</t>
        </is>
      </c>
      <c r="N5013" s="12" t="n">
        <v>1</v>
      </c>
      <c r="O5013" s="12" t="n">
        <v>1</v>
      </c>
      <c r="P5013" s="12" t="n"/>
      <c r="Q5013" s="12" t="n"/>
      <c r="R5013" s="12" t="n"/>
      <c r="S5013" s="12" t="inlineStr">
        <is>
          <t>Duct bank</t>
        </is>
      </c>
      <c r="T5013" s="15" t="n">
        <v>258</v>
      </c>
      <c r="U5013" s="15" t="n">
        <v>110</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I-I-0400</t>
        </is>
      </c>
      <c r="B5014" s="12" t="inlineStr">
        <is>
          <t>I</t>
        </is>
      </c>
      <c r="C5014" s="12" t="inlineStr">
        <is>
          <t>Modular / portable power</t>
        </is>
      </c>
      <c r="D5014" s="12" t="inlineStr">
        <is>
          <t>Analog instrument to JB JB-SC-1 CEMS shelter-AI01: 12 x 1 pr (field cables)</t>
        </is>
      </c>
      <c r="E5014" s="12" t="inlineStr"/>
      <c r="F5014" s="12" t="inlineStr">
        <is>
          <t>SC-1 CEMS shelter</t>
        </is>
      </c>
      <c r="G5014" s="12" t="inlineStr">
        <is>
          <t>JB-SC-1 CEMS shelter-AI01</t>
        </is>
      </c>
      <c r="H5014" s="12" t="inlineStr">
        <is>
          <t>SC-1 CEMS shelter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12</v>
      </c>
      <c r="O5014" s="12" t="n">
        <v>1</v>
      </c>
      <c r="P5014" s="12" t="n"/>
      <c r="Q5014" s="12" t="n"/>
      <c r="R5014" s="12" t="n"/>
      <c r="S5014" s="12" t="inlineStr">
        <is>
          <t>Tray / conduit</t>
        </is>
      </c>
      <c r="T5014" s="15" t="n">
        <v>57</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I-I-0401</t>
        </is>
      </c>
      <c r="B5015" s="12" t="inlineStr">
        <is>
          <t>I</t>
        </is>
      </c>
      <c r="C5015" s="12" t="inlineStr">
        <is>
          <t>Modular / portable power</t>
        </is>
      </c>
      <c r="D5015" s="12" t="inlineStr">
        <is>
          <t>Home run JB-SC-1 CEMS shelter-AI01 to the control / marshalling room</t>
        </is>
      </c>
      <c r="E5015" s="12" t="inlineStr"/>
      <c r="F5015" s="12" t="inlineStr">
        <is>
          <t>SC-1 PCM + 15 kV GCB</t>
        </is>
      </c>
      <c r="G5015" s="12" t="inlineStr">
        <is>
          <t>JB-SC-1 CEMS shelter-AI01</t>
        </is>
      </c>
      <c r="H5015" s="12" t="inlineStr">
        <is>
          <t>SC-1 CEMS shelter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5" t="n">
        <v>81</v>
      </c>
      <c r="U5015" s="15" t="n">
        <v>106</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I-I-0402</t>
        </is>
      </c>
      <c r="B5016" s="12" t="inlineStr">
        <is>
          <t>I</t>
        </is>
      </c>
      <c r="C5016" s="12" t="inlineStr">
        <is>
          <t>Modular / portable power</t>
        </is>
      </c>
      <c r="D5016" s="12" t="inlineStr">
        <is>
          <t>Discrete device to JB JB-SC-1 CEMS shelter-DI01: 10 x 1 pr (field cables)</t>
        </is>
      </c>
      <c r="E5016" s="12" t="inlineStr"/>
      <c r="F5016" s="12" t="inlineStr">
        <is>
          <t>SC-1 CEMS shelter</t>
        </is>
      </c>
      <c r="G5016" s="12" t="inlineStr">
        <is>
          <t>JB-SC-1 CEMS shelter-DI01</t>
        </is>
      </c>
      <c r="H5016" s="12" t="inlineStr">
        <is>
          <t>SC-1 CEMS shelter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10</v>
      </c>
      <c r="O5016" s="12" t="n">
        <v>1</v>
      </c>
      <c r="P5016" s="12" t="n"/>
      <c r="Q5016" s="12" t="n"/>
      <c r="R5016" s="12" t="n"/>
      <c r="S5016" s="12" t="inlineStr">
        <is>
          <t>Tray / conduit</t>
        </is>
      </c>
      <c r="T5016" s="15" t="n">
        <v>57</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I-I-0403</t>
        </is>
      </c>
      <c r="B5017" s="12" t="inlineStr">
        <is>
          <t>I</t>
        </is>
      </c>
      <c r="C5017" s="12" t="inlineStr">
        <is>
          <t>Modular / portable power</t>
        </is>
      </c>
      <c r="D5017" s="12" t="inlineStr">
        <is>
          <t>Home run JB-SC-1 CEMS shelter-DI01 to the control / marshalling room</t>
        </is>
      </c>
      <c r="E5017" s="12" t="inlineStr"/>
      <c r="F5017" s="12" t="inlineStr">
        <is>
          <t>SC-1 PCM + 15 kV GCB</t>
        </is>
      </c>
      <c r="G5017" s="12" t="inlineStr">
        <is>
          <t>JB-SC-1 CEMS shelter-DI01</t>
        </is>
      </c>
      <c r="H5017" s="12" t="inlineStr">
        <is>
          <t>SC-1 CEMS shelter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5" t="n">
        <v>81</v>
      </c>
      <c r="U5017" s="15" t="n">
        <v>106</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I-I-0404</t>
        </is>
      </c>
      <c r="B5018" s="12" t="inlineStr">
        <is>
          <t>I</t>
        </is>
      </c>
      <c r="C5018" s="12" t="inlineStr">
        <is>
          <t>Modular / portable power</t>
        </is>
      </c>
      <c r="D5018" s="12" t="inlineStr">
        <is>
          <t>Analog instrument to JB JB-SC-1 SCR / CO cata-AI01: 16 x 1 pr (field cables)</t>
        </is>
      </c>
      <c r="E5018" s="12" t="inlineStr"/>
      <c r="F5018" s="12" t="inlineStr">
        <is>
          <t>SC-1 SCR / CO catalyst</t>
        </is>
      </c>
      <c r="G5018" s="12" t="inlineStr">
        <is>
          <t>JB-SC-1 SCR / CO cata-AI01</t>
        </is>
      </c>
      <c r="H5018" s="12" t="inlineStr">
        <is>
          <t>SC-1 SCR / CO catalyst</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16</v>
      </c>
      <c r="O5018" s="12" t="n">
        <v>1</v>
      </c>
      <c r="P5018" s="12" t="n"/>
      <c r="Q5018" s="12" t="n"/>
      <c r="R5018" s="12" t="n"/>
      <c r="S5018" s="12" t="inlineStr">
        <is>
          <t>Tray / conduit</t>
        </is>
      </c>
      <c r="T5018" s="15" t="n">
        <v>74</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I-I-0405</t>
        </is>
      </c>
      <c r="B5019" s="12" t="inlineStr">
        <is>
          <t>I</t>
        </is>
      </c>
      <c r="C5019" s="12" t="inlineStr">
        <is>
          <t>Modular / portable power</t>
        </is>
      </c>
      <c r="D5019" s="12" t="inlineStr">
        <is>
          <t>Home run JB-SC-1 SCR / CO cata-AI01 to the control / marshalling room</t>
        </is>
      </c>
      <c r="E5019" s="12" t="inlineStr"/>
      <c r="F5019" s="12" t="inlineStr">
        <is>
          <t>SC-1 PCM + 15 kV GCB</t>
        </is>
      </c>
      <c r="G5019" s="12" t="inlineStr">
        <is>
          <t>JB-SC-1 SCR / CO cata-AI01</t>
        </is>
      </c>
      <c r="H5019" s="12" t="inlineStr">
        <is>
          <t>SC-1 SCR / CO catalyst</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55</v>
      </c>
      <c r="U5019" s="15" t="n">
        <v>57</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I-I-0406</t>
        </is>
      </c>
      <c r="B5020" s="12" t="inlineStr">
        <is>
          <t>I</t>
        </is>
      </c>
      <c r="C5020" s="12" t="inlineStr">
        <is>
          <t>Modular / portable power</t>
        </is>
      </c>
      <c r="D5020" s="12" t="inlineStr">
        <is>
          <t>Discrete device to JB JB-SC-1 SCR / CO cata-DI01: 8 x 1 pr (field cables)</t>
        </is>
      </c>
      <c r="E5020" s="12" t="inlineStr"/>
      <c r="F5020" s="12" t="inlineStr">
        <is>
          <t>SC-1 SCR / CO catalyst</t>
        </is>
      </c>
      <c r="G5020" s="12" t="inlineStr">
        <is>
          <t>JB-SC-1 SCR / CO cata-DI01</t>
        </is>
      </c>
      <c r="H5020" s="12" t="inlineStr">
        <is>
          <t>SC-1 SCR / CO catalyst</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74</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I-I-0407</t>
        </is>
      </c>
      <c r="B5021" s="12" t="inlineStr">
        <is>
          <t>I</t>
        </is>
      </c>
      <c r="C5021" s="12" t="inlineStr">
        <is>
          <t>Modular / portable power</t>
        </is>
      </c>
      <c r="D5021" s="12" t="inlineStr">
        <is>
          <t>Home run JB-SC-1 SCR / CO cata-DI01 to the control / marshalling room</t>
        </is>
      </c>
      <c r="E5021" s="12" t="inlineStr"/>
      <c r="F5021" s="12" t="inlineStr">
        <is>
          <t>SC-1 PCM + 15 kV GCB</t>
        </is>
      </c>
      <c r="G5021" s="12" t="inlineStr">
        <is>
          <t>JB-SC-1 SCR / CO cata-DI01</t>
        </is>
      </c>
      <c r="H5021" s="12" t="inlineStr">
        <is>
          <t>SC-1 SCR / CO catalyst</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55</v>
      </c>
      <c r="U5021" s="15" t="n">
        <v>57</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I-I-0408</t>
        </is>
      </c>
      <c r="B5022" s="12" t="inlineStr">
        <is>
          <t>I</t>
        </is>
      </c>
      <c r="C5022" s="12" t="inlineStr">
        <is>
          <t>Modular / portable power</t>
        </is>
      </c>
      <c r="D5022" s="12" t="inlineStr">
        <is>
          <t>Analog instrument to JB JB-SC-1 ammonia flow--AI01: 8 x 1 pr (field cables)</t>
        </is>
      </c>
      <c r="E5022" s="12" t="inlineStr"/>
      <c r="F5022" s="12" t="inlineStr">
        <is>
          <t>SC-1 ammonia flow-control unit</t>
        </is>
      </c>
      <c r="G5022" s="12" t="inlineStr">
        <is>
          <t>JB-SC-1 ammonia flow--AI01</t>
        </is>
      </c>
      <c r="H5022" s="12" t="inlineStr">
        <is>
          <t>SC-1 ammonia flow-control unit</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8</v>
      </c>
      <c r="O5022" s="12" t="n">
        <v>1</v>
      </c>
      <c r="P5022" s="12" t="n"/>
      <c r="Q5022" s="12" t="n"/>
      <c r="R5022" s="12" t="n"/>
      <c r="S5022" s="12" t="inlineStr">
        <is>
          <t>Tray / conduit</t>
        </is>
      </c>
      <c r="T5022" s="15" t="n">
        <v>40</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I-I-0409</t>
        </is>
      </c>
      <c r="B5023" s="12" t="inlineStr">
        <is>
          <t>I</t>
        </is>
      </c>
      <c r="C5023" s="12" t="inlineStr">
        <is>
          <t>Modular / portable power</t>
        </is>
      </c>
      <c r="D5023" s="12" t="inlineStr">
        <is>
          <t>Home run JB-SC-1 ammonia flow--AI01 to the control / marshalling room</t>
        </is>
      </c>
      <c r="E5023" s="12" t="inlineStr"/>
      <c r="F5023" s="12" t="inlineStr">
        <is>
          <t>SC-1 PCM + 15 kV GCB</t>
        </is>
      </c>
      <c r="G5023" s="12" t="inlineStr">
        <is>
          <t>JB-SC-1 ammonia flow--AI01</t>
        </is>
      </c>
      <c r="H5023" s="12" t="inlineStr">
        <is>
          <t>SC-1 ammonia flow-control unit</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Duct bank</t>
        </is>
      </c>
      <c r="T5023" s="15" t="n">
        <v>55</v>
      </c>
      <c r="U5023" s="15" t="n">
        <v>55</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I-I-0410</t>
        </is>
      </c>
      <c r="B5024" s="12" t="inlineStr">
        <is>
          <t>I</t>
        </is>
      </c>
      <c r="C5024" s="12" t="inlineStr">
        <is>
          <t>Modular / portable power</t>
        </is>
      </c>
      <c r="D5024" s="12" t="inlineStr">
        <is>
          <t>Discrete device to JB JB-SC-1 ammonia flow--DI01: 8 x 1 pr (field cables)</t>
        </is>
      </c>
      <c r="E5024" s="12" t="inlineStr"/>
      <c r="F5024" s="12" t="inlineStr">
        <is>
          <t>SC-1 ammonia flow-control unit</t>
        </is>
      </c>
      <c r="G5024" s="12" t="inlineStr">
        <is>
          <t>JB-SC-1 ammonia flow--DI01</t>
        </is>
      </c>
      <c r="H5024" s="12" t="inlineStr">
        <is>
          <t>SC-1 ammonia flow-control unit</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8</v>
      </c>
      <c r="O5024" s="12" t="n">
        <v>1</v>
      </c>
      <c r="P5024" s="12" t="n"/>
      <c r="Q5024" s="12" t="n"/>
      <c r="R5024" s="12" t="n"/>
      <c r="S5024" s="12" t="inlineStr">
        <is>
          <t>Tray / conduit</t>
        </is>
      </c>
      <c r="T5024" s="15" t="n">
        <v>40</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I-I-0411</t>
        </is>
      </c>
      <c r="B5025" s="12" t="inlineStr">
        <is>
          <t>I</t>
        </is>
      </c>
      <c r="C5025" s="12" t="inlineStr">
        <is>
          <t>Modular / portable power</t>
        </is>
      </c>
      <c r="D5025" s="12" t="inlineStr">
        <is>
          <t>Home run JB-SC-1 ammonia flow--DI01 to the control / marshalling room</t>
        </is>
      </c>
      <c r="E5025" s="12" t="inlineStr"/>
      <c r="F5025" s="12" t="inlineStr">
        <is>
          <t>SC-1 PCM + 15 kV GCB</t>
        </is>
      </c>
      <c r="G5025" s="12" t="inlineStr">
        <is>
          <t>JB-SC-1 ammonia flow--DI01</t>
        </is>
      </c>
      <c r="H5025" s="12" t="inlineStr">
        <is>
          <t>SC-1 ammonia flow-control unit</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Duct bank</t>
        </is>
      </c>
      <c r="T5025" s="15" t="n">
        <v>55</v>
      </c>
      <c r="U5025" s="15" t="n">
        <v>55</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I-I-0412</t>
        </is>
      </c>
      <c r="B5026" s="12" t="inlineStr">
        <is>
          <t>I</t>
        </is>
      </c>
      <c r="C5026" s="12" t="inlineStr">
        <is>
          <t>Modular / portable power</t>
        </is>
      </c>
      <c r="D5026" s="12" t="inlineStr">
        <is>
          <t>Analog instrument to JB JB-SC-1 auxiliary ski-AI01: 14 x 1 pr (field cables)</t>
        </is>
      </c>
      <c r="E5026" s="12" t="inlineStr"/>
      <c r="F5026" s="12" t="inlineStr">
        <is>
          <t>SC-1 auxiliary skids: fuel-gas module, water-wash skid</t>
        </is>
      </c>
      <c r="G5026" s="12" t="inlineStr">
        <is>
          <t>JB-SC-1 auxiliary ski-AI01</t>
        </is>
      </c>
      <c r="H5026" s="12" t="inlineStr">
        <is>
          <t>SC-1 auxiliary skids: fuel-gas module, water-wash skid</t>
        </is>
      </c>
      <c r="I5026" s="12" t="inlineStr">
        <is>
          <t>Instrumentation</t>
        </is>
      </c>
      <c r="J5026" s="12" t="inlineStr">
        <is>
          <t>Instrumentation ITC / PLTC, IS, #18 shielded pairs, blue jacket</t>
        </is>
      </c>
      <c r="K5026" s="12" t="inlineStr">
        <is>
          <t>ITC|1 pr|16</t>
        </is>
      </c>
      <c r="L5026" s="12" t="inlineStr">
        <is>
          <t>1 pr</t>
        </is>
      </c>
      <c r="M5026" s="12" t="inlineStr">
        <is>
          <t>16</t>
        </is>
      </c>
      <c r="N5026" s="12" t="n">
        <v>14</v>
      </c>
      <c r="O5026" s="12" t="n">
        <v>1</v>
      </c>
      <c r="P5026" s="12" t="n"/>
      <c r="Q5026" s="12" t="n"/>
      <c r="R5026" s="12" t="n"/>
      <c r="S5026" s="12" t="inlineStr">
        <is>
          <t>Tray / conduit</t>
        </is>
      </c>
      <c r="T5026" s="15" t="n">
        <v>63</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I-I-0413</t>
        </is>
      </c>
      <c r="B5027" s="12" t="inlineStr">
        <is>
          <t>I</t>
        </is>
      </c>
      <c r="C5027" s="12" t="inlineStr">
        <is>
          <t>Modular / portable power</t>
        </is>
      </c>
      <c r="D5027" s="12" t="inlineStr">
        <is>
          <t>Home run JB-SC-1 auxiliary ski-AI01 to the control / marshalling room</t>
        </is>
      </c>
      <c r="E5027" s="12" t="inlineStr"/>
      <c r="F5027" s="12" t="inlineStr">
        <is>
          <t>SC-1 PCM + 15 kV GCB</t>
        </is>
      </c>
      <c r="G5027" s="12" t="inlineStr">
        <is>
          <t>JB-SC-1 auxiliary ski-AI01</t>
        </is>
      </c>
      <c r="H5027" s="12" t="inlineStr">
        <is>
          <t>SC-1 auxiliary skids: fuel-gas module, water-wash skid</t>
        </is>
      </c>
      <c r="I5027" s="12" t="inlineStr">
        <is>
          <t>Instrumentation</t>
        </is>
      </c>
      <c r="J5027" s="12" t="inlineStr">
        <is>
          <t>Instrumentation ITC / PLTC, IS, #18 shielded pairs, blue jacket</t>
        </is>
      </c>
      <c r="K5027" s="12" t="inlineStr">
        <is>
          <t>ITC|24 pr|18</t>
        </is>
      </c>
      <c r="L5027" s="12" t="inlineStr">
        <is>
          <t>24 pr</t>
        </is>
      </c>
      <c r="M5027" s="12" t="inlineStr">
        <is>
          <t>18</t>
        </is>
      </c>
      <c r="N5027" s="12" t="n">
        <v>1</v>
      </c>
      <c r="O5027" s="12" t="n">
        <v>1</v>
      </c>
      <c r="P5027" s="12" t="n"/>
      <c r="Q5027" s="12" t="n"/>
      <c r="R5027" s="12" t="n"/>
      <c r="S5027" s="12" t="inlineStr">
        <is>
          <t>Tray</t>
        </is>
      </c>
      <c r="T5027" s="15" t="n">
        <v>5</v>
      </c>
      <c r="U5027" s="15" t="n">
        <v>49</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I-I-0414</t>
        </is>
      </c>
      <c r="B5028" s="12" t="inlineStr">
        <is>
          <t>I</t>
        </is>
      </c>
      <c r="C5028" s="12" t="inlineStr">
        <is>
          <t>Modular / portable power</t>
        </is>
      </c>
      <c r="D5028" s="12" t="inlineStr">
        <is>
          <t>Discrete device to JB JB-SC-1 auxiliary ski-DI01: 12 x 1 pr (field cables)</t>
        </is>
      </c>
      <c r="E5028" s="12" t="inlineStr"/>
      <c r="F5028" s="12" t="inlineStr">
        <is>
          <t>SC-1 auxiliary skids: fuel-gas module, water-wash skid</t>
        </is>
      </c>
      <c r="G5028" s="12" t="inlineStr">
        <is>
          <t>JB-SC-1 auxiliary ski-DI01</t>
        </is>
      </c>
      <c r="H5028" s="12" t="inlineStr">
        <is>
          <t>SC-1 auxiliary skids: fuel-gas module, water-wash skid</t>
        </is>
      </c>
      <c r="I5028" s="12" t="inlineStr">
        <is>
          <t>Instrumentation</t>
        </is>
      </c>
      <c r="J5028" s="12" t="inlineStr">
        <is>
          <t>Instrumentation ITC / PLTC, IS, #18 shielded pairs, blue jacket</t>
        </is>
      </c>
      <c r="K5028" s="12" t="inlineStr">
        <is>
          <t>ITC|1 pr|16</t>
        </is>
      </c>
      <c r="L5028" s="12" t="inlineStr">
        <is>
          <t>1 pr</t>
        </is>
      </c>
      <c r="M5028" s="12" t="inlineStr">
        <is>
          <t>16</t>
        </is>
      </c>
      <c r="N5028" s="12" t="n">
        <v>12</v>
      </c>
      <c r="O5028" s="12" t="n">
        <v>1</v>
      </c>
      <c r="P5028" s="12" t="n"/>
      <c r="Q5028" s="12" t="n"/>
      <c r="R5028" s="12" t="n"/>
      <c r="S5028" s="12" t="inlineStr">
        <is>
          <t>Tray / conduit</t>
        </is>
      </c>
      <c r="T5028" s="15" t="n">
        <v>63</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I-I-0415</t>
        </is>
      </c>
      <c r="B5029" s="12" t="inlineStr">
        <is>
          <t>I</t>
        </is>
      </c>
      <c r="C5029" s="12" t="inlineStr">
        <is>
          <t>Modular / portable power</t>
        </is>
      </c>
      <c r="D5029" s="12" t="inlineStr">
        <is>
          <t>Home run JB-SC-1 auxiliary ski-DI01 to the control / marshalling room</t>
        </is>
      </c>
      <c r="E5029" s="12" t="inlineStr"/>
      <c r="F5029" s="12" t="inlineStr">
        <is>
          <t>SC-1 PCM + 15 kV GCB</t>
        </is>
      </c>
      <c r="G5029" s="12" t="inlineStr">
        <is>
          <t>JB-SC-1 auxiliary ski-DI01</t>
        </is>
      </c>
      <c r="H5029" s="12" t="inlineStr">
        <is>
          <t>SC-1 auxiliary skids: fuel-gas module, water-wash skid</t>
        </is>
      </c>
      <c r="I5029" s="12" t="inlineStr">
        <is>
          <t>Instrumentation</t>
        </is>
      </c>
      <c r="J5029" s="12" t="inlineStr">
        <is>
          <t>Instrumentation ITC / PLTC, IS, #18 shielded pairs, blue jacket</t>
        </is>
      </c>
      <c r="K5029" s="12" t="inlineStr">
        <is>
          <t>ITC|24 pr|18</t>
        </is>
      </c>
      <c r="L5029" s="12" t="inlineStr">
        <is>
          <t>24 pr</t>
        </is>
      </c>
      <c r="M5029" s="12" t="inlineStr">
        <is>
          <t>18</t>
        </is>
      </c>
      <c r="N5029" s="12" t="n">
        <v>1</v>
      </c>
      <c r="O5029" s="12" t="n">
        <v>1</v>
      </c>
      <c r="P5029" s="12" t="n"/>
      <c r="Q5029" s="12" t="n"/>
      <c r="R5029" s="12" t="n"/>
      <c r="S5029" s="12" t="inlineStr">
        <is>
          <t>Tray</t>
        </is>
      </c>
      <c r="T5029" s="15" t="n">
        <v>5</v>
      </c>
      <c r="U5029" s="15" t="n">
        <v>49</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I-I-0416</t>
        </is>
      </c>
      <c r="B5030" s="12" t="inlineStr">
        <is>
          <t>I</t>
        </is>
      </c>
      <c r="C5030" s="12" t="inlineStr">
        <is>
          <t>Modular / portable power</t>
        </is>
      </c>
      <c r="D5030" s="12" t="inlineStr">
        <is>
          <t>Analog instrument to JB JB-SC-1 lube-oil fin--AI01: 4 x 1 pr (field cables)</t>
        </is>
      </c>
      <c r="E5030" s="12" t="inlineStr"/>
      <c r="F5030" s="12" t="inlineStr">
        <is>
          <t>SC-1 lube-oil fin-fan cooler</t>
        </is>
      </c>
      <c r="G5030" s="12" t="inlineStr">
        <is>
          <t>JB-SC-1 lube-oil fin--AI01</t>
        </is>
      </c>
      <c r="H5030" s="12" t="inlineStr">
        <is>
          <t>SC-1 lube-oil fin-fan cooler</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4</v>
      </c>
      <c r="O5030" s="12" t="n">
        <v>1</v>
      </c>
      <c r="P5030" s="12" t="n"/>
      <c r="Q5030" s="12" t="n"/>
      <c r="R5030" s="12" t="n"/>
      <c r="S5030" s="12" t="inlineStr">
        <is>
          <t>Tray / conduit</t>
        </is>
      </c>
      <c r="T5030" s="15" t="n">
        <v>46</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I-I-0417</t>
        </is>
      </c>
      <c r="B5031" s="12" t="inlineStr">
        <is>
          <t>I</t>
        </is>
      </c>
      <c r="C5031" s="12" t="inlineStr">
        <is>
          <t>Modular / portable power</t>
        </is>
      </c>
      <c r="D5031" s="12" t="inlineStr">
        <is>
          <t>Home run JB-SC-1 lube-oil fin--AI01 to the control / marshalling room</t>
        </is>
      </c>
      <c r="E5031" s="12" t="inlineStr"/>
      <c r="F5031" s="12" t="inlineStr">
        <is>
          <t>SC-1 PCM + 15 kV GCB</t>
        </is>
      </c>
      <c r="G5031" s="12" t="inlineStr">
        <is>
          <t>JB-SC-1 lube-oil fin--AI01</t>
        </is>
      </c>
      <c r="H5031" s="12" t="inlineStr">
        <is>
          <t>SC-1 lube-oil fin-fan cooler</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Riser</t>
        </is>
      </c>
      <c r="T5031" s="15" t="n">
        <v>9</v>
      </c>
      <c r="U5031" s="15" t="n">
        <v>33</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I-I-0418</t>
        </is>
      </c>
      <c r="B5032" s="12" t="inlineStr">
        <is>
          <t>I</t>
        </is>
      </c>
      <c r="C5032" s="12" t="inlineStr">
        <is>
          <t>Modular / portable power</t>
        </is>
      </c>
      <c r="D5032" s="12" t="inlineStr">
        <is>
          <t>Discrete device to JB JB-SC-1 lube-oil fin--DI01: 8 x 1 pr (field cables)</t>
        </is>
      </c>
      <c r="E5032" s="12" t="inlineStr"/>
      <c r="F5032" s="12" t="inlineStr">
        <is>
          <t>SC-1 lube-oil fin-fan cooler</t>
        </is>
      </c>
      <c r="G5032" s="12" t="inlineStr">
        <is>
          <t>JB-SC-1 lube-oil fin--DI01</t>
        </is>
      </c>
      <c r="H5032" s="12" t="inlineStr">
        <is>
          <t>SC-1 lube-oil fin-fan cooler</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8</v>
      </c>
      <c r="O5032" s="12" t="n">
        <v>1</v>
      </c>
      <c r="P5032" s="12" t="n"/>
      <c r="Q5032" s="12" t="n"/>
      <c r="R5032" s="12" t="n"/>
      <c r="S5032" s="12" t="inlineStr">
        <is>
          <t>Tray / conduit</t>
        </is>
      </c>
      <c r="T5032" s="15" t="n">
        <v>46</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I-I-0419</t>
        </is>
      </c>
      <c r="B5033" s="12" t="inlineStr">
        <is>
          <t>I</t>
        </is>
      </c>
      <c r="C5033" s="12" t="inlineStr">
        <is>
          <t>Modular / portable power</t>
        </is>
      </c>
      <c r="D5033" s="12" t="inlineStr">
        <is>
          <t>Home run JB-SC-1 lube-oil fin--DI01 to the control / marshalling room</t>
        </is>
      </c>
      <c r="E5033" s="12" t="inlineStr"/>
      <c r="F5033" s="12" t="inlineStr">
        <is>
          <t>SC-1 PCM + 15 kV GCB</t>
        </is>
      </c>
      <c r="G5033" s="12" t="inlineStr">
        <is>
          <t>JB-SC-1 lube-oil fin--DI01</t>
        </is>
      </c>
      <c r="H5033" s="12" t="inlineStr">
        <is>
          <t>SC-1 lube-oil fin-fan cooler</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Riser</t>
        </is>
      </c>
      <c r="T5033" s="15" t="n">
        <v>9</v>
      </c>
      <c r="U5033" s="15" t="n">
        <v>33</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I-I-0420</t>
        </is>
      </c>
      <c r="B5034" s="12" t="inlineStr">
        <is>
          <t>I</t>
        </is>
      </c>
      <c r="C5034" s="12" t="inlineStr">
        <is>
          <t>Modular / portable power</t>
        </is>
      </c>
      <c r="D5034" s="12" t="inlineStr">
        <is>
          <t>Analog instrument to JB JB-SC-1 tempering-air-AI01: 8 x 1 pr (field cables)</t>
        </is>
      </c>
      <c r="E5034" s="12" t="inlineStr"/>
      <c r="F5034" s="12" t="inlineStr">
        <is>
          <t>SC-1 tempering-air fans (2 x 100 %)</t>
        </is>
      </c>
      <c r="G5034" s="12" t="inlineStr">
        <is>
          <t>JB-SC-1 tempering-air-AI01</t>
        </is>
      </c>
      <c r="H5034" s="12" t="inlineStr">
        <is>
          <t>SC-1 tempering-air fans (2 x 100 %)</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8</v>
      </c>
      <c r="O5034" s="12" t="n">
        <v>1</v>
      </c>
      <c r="P5034" s="12" t="n"/>
      <c r="Q5034" s="12" t="n"/>
      <c r="R5034" s="12" t="n"/>
      <c r="S5034" s="12" t="inlineStr">
        <is>
          <t>Tray / conduit</t>
        </is>
      </c>
      <c r="T5034" s="15" t="n">
        <v>53</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I-I-0421</t>
        </is>
      </c>
      <c r="B5035" s="12" t="inlineStr">
        <is>
          <t>I</t>
        </is>
      </c>
      <c r="C5035" s="12" t="inlineStr">
        <is>
          <t>Modular / portable power</t>
        </is>
      </c>
      <c r="D5035" s="12" t="inlineStr">
        <is>
          <t>Home run JB-SC-1 tempering-air-AI01 to the control / marshalling room</t>
        </is>
      </c>
      <c r="E5035" s="12" t="inlineStr"/>
      <c r="F5035" s="12" t="inlineStr">
        <is>
          <t>SC-1 PCM + 15 kV GCB</t>
        </is>
      </c>
      <c r="G5035" s="12" t="inlineStr">
        <is>
          <t>JB-SC-1 tempering-air-AI01</t>
        </is>
      </c>
      <c r="H5035" s="12" t="inlineStr">
        <is>
          <t>SC-1 tempering-air fans (2 x 100 %)</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5" t="n">
        <v>15</v>
      </c>
      <c r="U5035" s="15" t="n">
        <v>99</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I-I-0422</t>
        </is>
      </c>
      <c r="B5036" s="12" t="inlineStr">
        <is>
          <t>I</t>
        </is>
      </c>
      <c r="C5036" s="12" t="inlineStr">
        <is>
          <t>Modular / portable power</t>
        </is>
      </c>
      <c r="D5036" s="12" t="inlineStr">
        <is>
          <t>Discrete device to JB JB-SC-1 tempering-air-DI01: 8 x 1 pr (field cables)</t>
        </is>
      </c>
      <c r="E5036" s="12" t="inlineStr"/>
      <c r="F5036" s="12" t="inlineStr">
        <is>
          <t>SC-1 tempering-air fans (2 x 100 %)</t>
        </is>
      </c>
      <c r="G5036" s="12" t="inlineStr">
        <is>
          <t>JB-SC-1 tempering-air-DI01</t>
        </is>
      </c>
      <c r="H5036" s="12" t="inlineStr">
        <is>
          <t>SC-1 tempering-air fans (2 x 100 %)</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8</v>
      </c>
      <c r="O5036" s="12" t="n">
        <v>1</v>
      </c>
      <c r="P5036" s="12" t="n"/>
      <c r="Q5036" s="12" t="n"/>
      <c r="R5036" s="12" t="n"/>
      <c r="S5036" s="12" t="inlineStr">
        <is>
          <t>Tray / conduit</t>
        </is>
      </c>
      <c r="T5036" s="15" t="n">
        <v>53</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I-I-0423</t>
        </is>
      </c>
      <c r="B5037" s="12" t="inlineStr">
        <is>
          <t>I</t>
        </is>
      </c>
      <c r="C5037" s="12" t="inlineStr">
        <is>
          <t>Modular / portable power</t>
        </is>
      </c>
      <c r="D5037" s="12" t="inlineStr">
        <is>
          <t>Home run JB-SC-1 tempering-air-DI01 to the control / marshalling room</t>
        </is>
      </c>
      <c r="E5037" s="12" t="inlineStr"/>
      <c r="F5037" s="12" t="inlineStr">
        <is>
          <t>SC-1 PCM + 15 kV GCB</t>
        </is>
      </c>
      <c r="G5037" s="12" t="inlineStr">
        <is>
          <t>JB-SC-1 tempering-air-DI01</t>
        </is>
      </c>
      <c r="H5037" s="12" t="inlineStr">
        <is>
          <t>SC-1 tempering-air fans (2 x 100 %)</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5" t="n">
        <v>15</v>
      </c>
      <c r="U5037" s="15" t="n">
        <v>99</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I-I-0424</t>
        </is>
      </c>
      <c r="B5038" s="12" t="inlineStr">
        <is>
          <t>I</t>
        </is>
      </c>
      <c r="C5038" s="12" t="inlineStr">
        <is>
          <t>Modular / portable power</t>
        </is>
      </c>
      <c r="D5038" s="12" t="inlineStr">
        <is>
          <t>Analog instrument to JB JB-SC-1-AI01: 20 x 1 pr (field cables)</t>
        </is>
      </c>
      <c r="E5038" s="12" t="inlineStr">
        <is>
          <t>SC-1</t>
        </is>
      </c>
      <c r="F5038" s="12" t="inlineStr">
        <is>
          <t>SC-1: aeroderivative simple-cycle unit (50 MW class)</t>
        </is>
      </c>
      <c r="G5038" s="12" t="inlineStr">
        <is>
          <t>JB-SC-1-AI01</t>
        </is>
      </c>
      <c r="H5038" s="12" t="inlineStr">
        <is>
          <t>SC-1: aeroderivative simple-cycle unit (50 MW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I-I-0425</t>
        </is>
      </c>
      <c r="B5039" s="12" t="inlineStr">
        <is>
          <t>I</t>
        </is>
      </c>
      <c r="C5039" s="12" t="inlineStr">
        <is>
          <t>Modular / portable power</t>
        </is>
      </c>
      <c r="D5039" s="12" t="inlineStr">
        <is>
          <t>Home run JB-SC-1-AI01 to the control / marshalling room</t>
        </is>
      </c>
      <c r="E5039" s="12" t="inlineStr"/>
      <c r="F5039" s="12" t="inlineStr">
        <is>
          <t>SC-1 PCM + 15 kV GCB</t>
        </is>
      </c>
      <c r="G5039" s="12" t="inlineStr">
        <is>
          <t>JB-SC-1-AI01</t>
        </is>
      </c>
      <c r="H5039" s="12" t="inlineStr">
        <is>
          <t>SC-1: aeroderivative simple-cycle unit (50 MW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I-I-0426</t>
        </is>
      </c>
      <c r="B5040" s="12" t="inlineStr">
        <is>
          <t>I</t>
        </is>
      </c>
      <c r="C5040" s="12" t="inlineStr">
        <is>
          <t>Modular / portable power</t>
        </is>
      </c>
      <c r="D5040" s="12" t="inlineStr">
        <is>
          <t>Analog instrument to JB JB-SC-1-AI02: 20 x 1 pr (field cables)</t>
        </is>
      </c>
      <c r="E5040" s="12" t="inlineStr">
        <is>
          <t>SC-1</t>
        </is>
      </c>
      <c r="F5040" s="12" t="inlineStr">
        <is>
          <t>SC-1: aeroderivative simple-cycle unit (50 MW class)</t>
        </is>
      </c>
      <c r="G5040" s="12" t="inlineStr">
        <is>
          <t>JB-SC-1-AI02</t>
        </is>
      </c>
      <c r="H5040" s="12" t="inlineStr">
        <is>
          <t>SC-1: aeroderivative simple-cycle unit (50 MW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I-I-0427</t>
        </is>
      </c>
      <c r="B5041" s="12" t="inlineStr">
        <is>
          <t>I</t>
        </is>
      </c>
      <c r="C5041" s="12" t="inlineStr">
        <is>
          <t>Modular / portable power</t>
        </is>
      </c>
      <c r="D5041" s="12" t="inlineStr">
        <is>
          <t>Home run JB-SC-1-AI02 to the control / marshalling room</t>
        </is>
      </c>
      <c r="E5041" s="12" t="inlineStr"/>
      <c r="F5041" s="12" t="inlineStr">
        <is>
          <t>SC-1 PCM + 15 kV GCB</t>
        </is>
      </c>
      <c r="G5041" s="12" t="inlineStr">
        <is>
          <t>JB-SC-1-AI02</t>
        </is>
      </c>
      <c r="H5041" s="12" t="inlineStr">
        <is>
          <t>SC-1: aeroderivative simple-cycle unit (50 MW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I-I-0428</t>
        </is>
      </c>
      <c r="B5042" s="12" t="inlineStr">
        <is>
          <t>I</t>
        </is>
      </c>
      <c r="C5042" s="12" t="inlineStr">
        <is>
          <t>Modular / portable power</t>
        </is>
      </c>
      <c r="D5042" s="12" t="inlineStr">
        <is>
          <t>Analog instrument to JB JB-SC-1-AI03: 20 x 1 pr (field cables)</t>
        </is>
      </c>
      <c r="E5042" s="12" t="inlineStr">
        <is>
          <t>SC-1</t>
        </is>
      </c>
      <c r="F5042" s="12" t="inlineStr">
        <is>
          <t>SC-1: aeroderivative simple-cycle unit (50 MW class)</t>
        </is>
      </c>
      <c r="G5042" s="12" t="inlineStr">
        <is>
          <t>JB-SC-1-AI03</t>
        </is>
      </c>
      <c r="H5042" s="12" t="inlineStr">
        <is>
          <t>SC-1: aeroderivative simple-cycle unit (50 MW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I-I-0429</t>
        </is>
      </c>
      <c r="B5043" s="12" t="inlineStr">
        <is>
          <t>I</t>
        </is>
      </c>
      <c r="C5043" s="12" t="inlineStr">
        <is>
          <t>Modular / portable power</t>
        </is>
      </c>
      <c r="D5043" s="12" t="inlineStr">
        <is>
          <t>Home run JB-SC-1-AI03 to the control / marshalling room</t>
        </is>
      </c>
      <c r="E5043" s="12" t="inlineStr"/>
      <c r="F5043" s="12" t="inlineStr">
        <is>
          <t>SC-1 PCM + 15 kV GCB</t>
        </is>
      </c>
      <c r="G5043" s="12" t="inlineStr">
        <is>
          <t>JB-SC-1-AI03</t>
        </is>
      </c>
      <c r="H5043" s="12" t="inlineStr">
        <is>
          <t>SC-1: aeroderivative simple-cycle unit (50 MW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I-I-0430</t>
        </is>
      </c>
      <c r="B5044" s="12" t="inlineStr">
        <is>
          <t>I</t>
        </is>
      </c>
      <c r="C5044" s="12" t="inlineStr">
        <is>
          <t>Modular / portable power</t>
        </is>
      </c>
      <c r="D5044" s="12" t="inlineStr">
        <is>
          <t>Analog instrument to JB JB-SC-1-AI04: 20 x 1 pr (field cables)</t>
        </is>
      </c>
      <c r="E5044" s="12" t="inlineStr">
        <is>
          <t>SC-1</t>
        </is>
      </c>
      <c r="F5044" s="12" t="inlineStr">
        <is>
          <t>SC-1: aeroderivative simple-cycle unit (50 MW class)</t>
        </is>
      </c>
      <c r="G5044" s="12" t="inlineStr">
        <is>
          <t>JB-SC-1-AI04</t>
        </is>
      </c>
      <c r="H5044" s="12" t="inlineStr">
        <is>
          <t>SC-1: aeroderivative simple-cycle unit (50 MW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I-I-0431</t>
        </is>
      </c>
      <c r="B5045" s="12" t="inlineStr">
        <is>
          <t>I</t>
        </is>
      </c>
      <c r="C5045" s="12" t="inlineStr">
        <is>
          <t>Modular / portable power</t>
        </is>
      </c>
      <c r="D5045" s="12" t="inlineStr">
        <is>
          <t>Home run JB-SC-1-AI04 to the control / marshalling room</t>
        </is>
      </c>
      <c r="E5045" s="12" t="inlineStr"/>
      <c r="F5045" s="12" t="inlineStr">
        <is>
          <t>SC-1 PCM + 15 kV GCB</t>
        </is>
      </c>
      <c r="G5045" s="12" t="inlineStr">
        <is>
          <t>JB-SC-1-AI04</t>
        </is>
      </c>
      <c r="H5045" s="12" t="inlineStr">
        <is>
          <t>SC-1: aeroderivative simple-cycle unit (50 MW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I-I-0432</t>
        </is>
      </c>
      <c r="B5046" s="12" t="inlineStr">
        <is>
          <t>I</t>
        </is>
      </c>
      <c r="C5046" s="12" t="inlineStr">
        <is>
          <t>Modular / portable power</t>
        </is>
      </c>
      <c r="D5046" s="12" t="inlineStr">
        <is>
          <t>Analog instrument to JB JB-SC-1-AI05: 20 x 1 pr (field cables)</t>
        </is>
      </c>
      <c r="E5046" s="12" t="inlineStr">
        <is>
          <t>SC-1</t>
        </is>
      </c>
      <c r="F5046" s="12" t="inlineStr">
        <is>
          <t>SC-1: aeroderivative simple-cycle unit (50 MW class)</t>
        </is>
      </c>
      <c r="G5046" s="12" t="inlineStr">
        <is>
          <t>JB-SC-1-AI05</t>
        </is>
      </c>
      <c r="H5046" s="12" t="inlineStr">
        <is>
          <t>SC-1: aeroderivative simple-cycle unit (50 MW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I-I-0433</t>
        </is>
      </c>
      <c r="B5047" s="12" t="inlineStr">
        <is>
          <t>I</t>
        </is>
      </c>
      <c r="C5047" s="12" t="inlineStr">
        <is>
          <t>Modular / portable power</t>
        </is>
      </c>
      <c r="D5047" s="12" t="inlineStr">
        <is>
          <t>Home run JB-SC-1-AI05 to the control / marshalling room</t>
        </is>
      </c>
      <c r="E5047" s="12" t="inlineStr"/>
      <c r="F5047" s="12" t="inlineStr">
        <is>
          <t>SC-1 PCM + 15 kV GCB</t>
        </is>
      </c>
      <c r="G5047" s="12" t="inlineStr">
        <is>
          <t>JB-SC-1-AI05</t>
        </is>
      </c>
      <c r="H5047" s="12" t="inlineStr">
        <is>
          <t>SC-1: aeroderivative simple-cycle unit (50 MW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I-I-0434</t>
        </is>
      </c>
      <c r="B5048" s="12" t="inlineStr">
        <is>
          <t>I</t>
        </is>
      </c>
      <c r="C5048" s="12" t="inlineStr">
        <is>
          <t>Modular / portable power</t>
        </is>
      </c>
      <c r="D5048" s="12" t="inlineStr">
        <is>
          <t>Analog instrument to JB JB-SC-1-AI06: 20 x 1 pr (field cables)</t>
        </is>
      </c>
      <c r="E5048" s="12" t="inlineStr">
        <is>
          <t>SC-1</t>
        </is>
      </c>
      <c r="F5048" s="12" t="inlineStr">
        <is>
          <t>SC-1: aeroderivative simple-cycle unit (50 MW class)</t>
        </is>
      </c>
      <c r="G5048" s="12" t="inlineStr">
        <is>
          <t>JB-SC-1-AI06</t>
        </is>
      </c>
      <c r="H5048" s="12" t="inlineStr">
        <is>
          <t>SC-1: aeroderivative simple-cycle unit (50 MW class)</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I-I-0435</t>
        </is>
      </c>
      <c r="B5049" s="12" t="inlineStr">
        <is>
          <t>I</t>
        </is>
      </c>
      <c r="C5049" s="12" t="inlineStr">
        <is>
          <t>Modular / portable power</t>
        </is>
      </c>
      <c r="D5049" s="12" t="inlineStr">
        <is>
          <t>Home run JB-SC-1-AI06 to the control / marshalling room</t>
        </is>
      </c>
      <c r="E5049" s="12" t="inlineStr"/>
      <c r="F5049" s="12" t="inlineStr">
        <is>
          <t>SC-1 PCM + 15 kV GCB</t>
        </is>
      </c>
      <c r="G5049" s="12" t="inlineStr">
        <is>
          <t>JB-SC-1-AI06</t>
        </is>
      </c>
      <c r="H5049" s="12" t="inlineStr">
        <is>
          <t>SC-1: aeroderivative simple-cycle unit (50 MW class)</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I-I-0436</t>
        </is>
      </c>
      <c r="B5050" s="12" t="inlineStr">
        <is>
          <t>I</t>
        </is>
      </c>
      <c r="C5050" s="12" t="inlineStr">
        <is>
          <t>Modular / portable power</t>
        </is>
      </c>
      <c r="D5050" s="12" t="inlineStr">
        <is>
          <t>Analog instrument to JB JB-SC-1-AI07: 20 x 1 pr (field cables)</t>
        </is>
      </c>
      <c r="E5050" s="12" t="inlineStr">
        <is>
          <t>SC-1</t>
        </is>
      </c>
      <c r="F5050" s="12" t="inlineStr">
        <is>
          <t>SC-1: aeroderivative simple-cycle unit (50 MW class)</t>
        </is>
      </c>
      <c r="G5050" s="12" t="inlineStr">
        <is>
          <t>JB-SC-1-AI07</t>
        </is>
      </c>
      <c r="H5050" s="12" t="inlineStr">
        <is>
          <t>SC-1: aeroderivative simple-cycle unit (50 MW class)</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I-I-0437</t>
        </is>
      </c>
      <c r="B5051" s="12" t="inlineStr">
        <is>
          <t>I</t>
        </is>
      </c>
      <c r="C5051" s="12" t="inlineStr">
        <is>
          <t>Modular / portable power</t>
        </is>
      </c>
      <c r="D5051" s="12" t="inlineStr">
        <is>
          <t>Home run JB-SC-1-AI07 to the control / marshalling room</t>
        </is>
      </c>
      <c r="E5051" s="12" t="inlineStr"/>
      <c r="F5051" s="12" t="inlineStr">
        <is>
          <t>SC-1 PCM + 15 kV GCB</t>
        </is>
      </c>
      <c r="G5051" s="12" t="inlineStr">
        <is>
          <t>JB-SC-1-AI07</t>
        </is>
      </c>
      <c r="H5051" s="12" t="inlineStr">
        <is>
          <t>SC-1: aeroderivative simple-cycle unit (50 MW class)</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I-I-0438</t>
        </is>
      </c>
      <c r="B5052" s="12" t="inlineStr">
        <is>
          <t>I</t>
        </is>
      </c>
      <c r="C5052" s="12" t="inlineStr">
        <is>
          <t>Modular / portable power</t>
        </is>
      </c>
      <c r="D5052" s="12" t="inlineStr">
        <is>
          <t>Analog instrument to JB JB-SC-1-AI08: 10 x 1 pr (field cables)</t>
        </is>
      </c>
      <c r="E5052" s="12" t="inlineStr">
        <is>
          <t>SC-1</t>
        </is>
      </c>
      <c r="F5052" s="12" t="inlineStr">
        <is>
          <t>SC-1: aeroderivative simple-cycle unit (50 MW class)</t>
        </is>
      </c>
      <c r="G5052" s="12" t="inlineStr">
        <is>
          <t>JB-SC-1-AI08</t>
        </is>
      </c>
      <c r="H5052" s="12" t="inlineStr">
        <is>
          <t>SC-1: aeroderivative simple-cycle unit (50 MW class)</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10</v>
      </c>
      <c r="O5052" s="12" t="n">
        <v>1</v>
      </c>
      <c r="P5052" s="12" t="n"/>
      <c r="Q5052" s="12" t="n"/>
      <c r="R5052" s="12" t="n"/>
      <c r="S5052" s="12" t="inlineStr">
        <is>
          <t>Tray / conduit</t>
        </is>
      </c>
      <c r="T5052" s="15" t="n">
        <v>99</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I-I-0439</t>
        </is>
      </c>
      <c r="B5053" s="12" t="inlineStr">
        <is>
          <t>I</t>
        </is>
      </c>
      <c r="C5053" s="12" t="inlineStr">
        <is>
          <t>Modular / portable power</t>
        </is>
      </c>
      <c r="D5053" s="12" t="inlineStr">
        <is>
          <t>Home run JB-SC-1-AI08 to the control / marshalling room</t>
        </is>
      </c>
      <c r="E5053" s="12" t="inlineStr"/>
      <c r="F5053" s="12" t="inlineStr">
        <is>
          <t>SC-1 PCM + 15 kV GCB</t>
        </is>
      </c>
      <c r="G5053" s="12" t="inlineStr">
        <is>
          <t>JB-SC-1-AI08</t>
        </is>
      </c>
      <c r="H5053" s="12" t="inlineStr">
        <is>
          <t>SC-1: aeroderivative simple-cycle unit (50 MW class)</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Tray</t>
        </is>
      </c>
      <c r="T5053" s="15" t="n">
        <v>5</v>
      </c>
      <c r="U5053" s="15" t="n">
        <v>62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I-I-0440</t>
        </is>
      </c>
      <c r="B5054" s="12" t="inlineStr">
        <is>
          <t>I</t>
        </is>
      </c>
      <c r="C5054" s="12" t="inlineStr">
        <is>
          <t>Modular / portable power</t>
        </is>
      </c>
      <c r="D5054" s="12" t="inlineStr">
        <is>
          <t>Discrete device to JB JB-SC-1-DI01: 20 x 1 pr (field cables)</t>
        </is>
      </c>
      <c r="E5054" s="12" t="inlineStr">
        <is>
          <t>SC-1</t>
        </is>
      </c>
      <c r="F5054" s="12" t="inlineStr">
        <is>
          <t>SC-1: aeroderivative simple-cycle unit (50 MW class)</t>
        </is>
      </c>
      <c r="G5054" s="12" t="inlineStr">
        <is>
          <t>JB-SC-1-DI01</t>
        </is>
      </c>
      <c r="H5054" s="12" t="inlineStr">
        <is>
          <t>SC-1: aeroderivative simple-cycle unit (50 MW class)</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5" t="n">
        <v>99</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I-I-0441</t>
        </is>
      </c>
      <c r="B5055" s="12" t="inlineStr">
        <is>
          <t>I</t>
        </is>
      </c>
      <c r="C5055" s="12" t="inlineStr">
        <is>
          <t>Modular / portable power</t>
        </is>
      </c>
      <c r="D5055" s="12" t="inlineStr">
        <is>
          <t>Home run JB-SC-1-DI01 to the control / marshalling room</t>
        </is>
      </c>
      <c r="E5055" s="12" t="inlineStr"/>
      <c r="F5055" s="12" t="inlineStr">
        <is>
          <t>SC-1 PCM + 15 kV GCB</t>
        </is>
      </c>
      <c r="G5055" s="12" t="inlineStr">
        <is>
          <t>JB-SC-1-DI01</t>
        </is>
      </c>
      <c r="H5055" s="12" t="inlineStr">
        <is>
          <t>SC-1: aeroderivative simple-cycle unit (50 MW class)</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Tray</t>
        </is>
      </c>
      <c r="T5055" s="15" t="n">
        <v>5</v>
      </c>
      <c r="U5055" s="15" t="n">
        <v>62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I-I-0442</t>
        </is>
      </c>
      <c r="B5056" s="12" t="inlineStr">
        <is>
          <t>I</t>
        </is>
      </c>
      <c r="C5056" s="12" t="inlineStr">
        <is>
          <t>Modular / portable power</t>
        </is>
      </c>
      <c r="D5056" s="12" t="inlineStr">
        <is>
          <t>Discrete device to JB JB-SC-1-DI02: 20 x 1 pr (field cables)</t>
        </is>
      </c>
      <c r="E5056" s="12" t="inlineStr">
        <is>
          <t>SC-1</t>
        </is>
      </c>
      <c r="F5056" s="12" t="inlineStr">
        <is>
          <t>SC-1: aeroderivative simple-cycle unit (50 MW class)</t>
        </is>
      </c>
      <c r="G5056" s="12" t="inlineStr">
        <is>
          <t>JB-SC-1-DI02</t>
        </is>
      </c>
      <c r="H5056" s="12" t="inlineStr">
        <is>
          <t>SC-1: aeroderivative simple-cycle unit (50 MW class)</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5" t="n">
        <v>99</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I-I-0443</t>
        </is>
      </c>
      <c r="B5057" s="12" t="inlineStr">
        <is>
          <t>I</t>
        </is>
      </c>
      <c r="C5057" s="12" t="inlineStr">
        <is>
          <t>Modular / portable power</t>
        </is>
      </c>
      <c r="D5057" s="12" t="inlineStr">
        <is>
          <t>Home run JB-SC-1-DI02 to the control / marshalling room</t>
        </is>
      </c>
      <c r="E5057" s="12" t="inlineStr"/>
      <c r="F5057" s="12" t="inlineStr">
        <is>
          <t>SC-1 PCM + 15 kV GCB</t>
        </is>
      </c>
      <c r="G5057" s="12" t="inlineStr">
        <is>
          <t>JB-SC-1-DI02</t>
        </is>
      </c>
      <c r="H5057" s="12" t="inlineStr">
        <is>
          <t>SC-1: aeroderivative simple-cycle unit (50 MW class)</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Tray</t>
        </is>
      </c>
      <c r="T5057" s="15" t="n">
        <v>5</v>
      </c>
      <c r="U5057" s="15" t="n">
        <v>62</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I-I-0444</t>
        </is>
      </c>
      <c r="B5058" s="12" t="inlineStr">
        <is>
          <t>I</t>
        </is>
      </c>
      <c r="C5058" s="12" t="inlineStr">
        <is>
          <t>Modular / portable power</t>
        </is>
      </c>
      <c r="D5058" s="12" t="inlineStr">
        <is>
          <t>Discrete device to JB JB-SC-1-DI03: 20 x 1 pr (field cables)</t>
        </is>
      </c>
      <c r="E5058" s="12" t="inlineStr">
        <is>
          <t>SC-1</t>
        </is>
      </c>
      <c r="F5058" s="12" t="inlineStr">
        <is>
          <t>SC-1: aeroderivative simple-cycle unit (50 MW class)</t>
        </is>
      </c>
      <c r="G5058" s="12" t="inlineStr">
        <is>
          <t>JB-SC-1-DI03</t>
        </is>
      </c>
      <c r="H5058" s="12" t="inlineStr">
        <is>
          <t>SC-1: aeroderivative simple-cycle unit (50 MW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5" t="n">
        <v>99</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I-I-0445</t>
        </is>
      </c>
      <c r="B5059" s="12" t="inlineStr">
        <is>
          <t>I</t>
        </is>
      </c>
      <c r="C5059" s="12" t="inlineStr">
        <is>
          <t>Modular / portable power</t>
        </is>
      </c>
      <c r="D5059" s="12" t="inlineStr">
        <is>
          <t>Home run JB-SC-1-DI03 to the control / marshalling room</t>
        </is>
      </c>
      <c r="E5059" s="12" t="inlineStr"/>
      <c r="F5059" s="12" t="inlineStr">
        <is>
          <t>SC-1 PCM + 15 kV GCB</t>
        </is>
      </c>
      <c r="G5059" s="12" t="inlineStr">
        <is>
          <t>JB-SC-1-DI03</t>
        </is>
      </c>
      <c r="H5059" s="12" t="inlineStr">
        <is>
          <t>SC-1: aeroderivative simple-cycle unit (50 MW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Tray</t>
        </is>
      </c>
      <c r="T5059" s="15" t="n">
        <v>5</v>
      </c>
      <c r="U5059" s="15" t="n">
        <v>62</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I-I-0446</t>
        </is>
      </c>
      <c r="B5060" s="12" t="inlineStr">
        <is>
          <t>I</t>
        </is>
      </c>
      <c r="C5060" s="12" t="inlineStr">
        <is>
          <t>Modular / portable power</t>
        </is>
      </c>
      <c r="D5060" s="12" t="inlineStr">
        <is>
          <t>Discrete device to JB JB-SC-1-DI04: 20 x 1 pr (field cables)</t>
        </is>
      </c>
      <c r="E5060" s="12" t="inlineStr">
        <is>
          <t>SC-1</t>
        </is>
      </c>
      <c r="F5060" s="12" t="inlineStr">
        <is>
          <t>SC-1: aeroderivative simple-cycle unit (50 MW class)</t>
        </is>
      </c>
      <c r="G5060" s="12" t="inlineStr">
        <is>
          <t>JB-SC-1-DI04</t>
        </is>
      </c>
      <c r="H5060" s="12" t="inlineStr">
        <is>
          <t>SC-1: aeroderivative simple-cycle unit (50 MW class)</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5" t="n">
        <v>99</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I-I-0447</t>
        </is>
      </c>
      <c r="B5061" s="12" t="inlineStr">
        <is>
          <t>I</t>
        </is>
      </c>
      <c r="C5061" s="12" t="inlineStr">
        <is>
          <t>Modular / portable power</t>
        </is>
      </c>
      <c r="D5061" s="12" t="inlineStr">
        <is>
          <t>Home run JB-SC-1-DI04 to the control / marshalling room</t>
        </is>
      </c>
      <c r="E5061" s="12" t="inlineStr"/>
      <c r="F5061" s="12" t="inlineStr">
        <is>
          <t>SC-1 PCM + 15 kV GCB</t>
        </is>
      </c>
      <c r="G5061" s="12" t="inlineStr">
        <is>
          <t>JB-SC-1-DI04</t>
        </is>
      </c>
      <c r="H5061" s="12" t="inlineStr">
        <is>
          <t>SC-1: aeroderivative simple-cycle unit (50 MW class)</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Tray</t>
        </is>
      </c>
      <c r="T5061" s="15" t="n">
        <v>5</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I-I-0448</t>
        </is>
      </c>
      <c r="B5062" s="12" t="inlineStr">
        <is>
          <t>I</t>
        </is>
      </c>
      <c r="C5062" s="12" t="inlineStr">
        <is>
          <t>Modular / portable power</t>
        </is>
      </c>
      <c r="D5062" s="12" t="inlineStr">
        <is>
          <t>Discrete device to JB JB-SC-1-DI05: 20 x 1 pr (field cables)</t>
        </is>
      </c>
      <c r="E5062" s="12" t="inlineStr">
        <is>
          <t>SC-1</t>
        </is>
      </c>
      <c r="F5062" s="12" t="inlineStr">
        <is>
          <t>SC-1: aeroderivative simple-cycle unit (50 MW class)</t>
        </is>
      </c>
      <c r="G5062" s="12" t="inlineStr">
        <is>
          <t>JB-SC-1-DI05</t>
        </is>
      </c>
      <c r="H5062" s="12" t="inlineStr">
        <is>
          <t>SC-1: aeroderivative simple-cycle unit (50 MW class)</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20</v>
      </c>
      <c r="O5062" s="12" t="n">
        <v>1</v>
      </c>
      <c r="P5062" s="12" t="n"/>
      <c r="Q5062" s="12" t="n"/>
      <c r="R5062" s="12" t="n"/>
      <c r="S5062" s="12" t="inlineStr">
        <is>
          <t>Tray / conduit</t>
        </is>
      </c>
      <c r="T5062" s="15" t="n">
        <v>99</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I-I-0449</t>
        </is>
      </c>
      <c r="B5063" s="12" t="inlineStr">
        <is>
          <t>I</t>
        </is>
      </c>
      <c r="C5063" s="12" t="inlineStr">
        <is>
          <t>Modular / portable power</t>
        </is>
      </c>
      <c r="D5063" s="12" t="inlineStr">
        <is>
          <t>Home run JB-SC-1-DI05 to the control / marshalling room</t>
        </is>
      </c>
      <c r="E5063" s="12" t="inlineStr"/>
      <c r="F5063" s="12" t="inlineStr">
        <is>
          <t>SC-1 PCM + 15 kV GCB</t>
        </is>
      </c>
      <c r="G5063" s="12" t="inlineStr">
        <is>
          <t>JB-SC-1-DI05</t>
        </is>
      </c>
      <c r="H5063" s="12" t="inlineStr">
        <is>
          <t>SC-1: aeroderivative simple-cycle unit (50 MW class)</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Tray</t>
        </is>
      </c>
      <c r="T5063" s="15" t="n">
        <v>5</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I-I-0450</t>
        </is>
      </c>
      <c r="B5064" s="12" t="inlineStr">
        <is>
          <t>I</t>
        </is>
      </c>
      <c r="C5064" s="12" t="inlineStr">
        <is>
          <t>Modular / portable power</t>
        </is>
      </c>
      <c r="D5064" s="12" t="inlineStr">
        <is>
          <t>Thermocouple to TC JB JB-SC-1-TC01: 20 x 1 pr (field cables)</t>
        </is>
      </c>
      <c r="E5064" s="12" t="inlineStr">
        <is>
          <t>SC-1</t>
        </is>
      </c>
      <c r="F5064" s="12" t="inlineStr">
        <is>
          <t>SC-1: aeroderivative simple-cycle unit (50 MW class)</t>
        </is>
      </c>
      <c r="G5064" s="12" t="inlineStr">
        <is>
          <t>JB-SC-1-TC01</t>
        </is>
      </c>
      <c r="H5064" s="12" t="inlineStr">
        <is>
          <t>SC-1: aeroderivative simple-cycle unit (50 MW class)</t>
        </is>
      </c>
      <c r="I5064" s="12" t="inlineStr">
        <is>
          <t>Instrumentation</t>
        </is>
      </c>
      <c r="J5064" s="12" t="inlineStr">
        <is>
          <t>Thermocouple extension KX, #16 shielded pairs, PLTC</t>
        </is>
      </c>
      <c r="K5064" s="12" t="inlineStr">
        <is>
          <t>TCX|1 pr|16</t>
        </is>
      </c>
      <c r="L5064" s="12" t="inlineStr">
        <is>
          <t>1 pr</t>
        </is>
      </c>
      <c r="M5064" s="12" t="inlineStr">
        <is>
          <t>16</t>
        </is>
      </c>
      <c r="N5064" s="12" t="n">
        <v>20</v>
      </c>
      <c r="O5064" s="12" t="n">
        <v>1</v>
      </c>
      <c r="P5064" s="12" t="n"/>
      <c r="Q5064" s="12" t="n"/>
      <c r="R5064" s="12" t="n"/>
      <c r="S5064" s="12" t="inlineStr">
        <is>
          <t>Tray / conduit</t>
        </is>
      </c>
      <c r="T5064" s="15" t="n">
        <v>99</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I-I-0451</t>
        </is>
      </c>
      <c r="B5065" s="12" t="inlineStr">
        <is>
          <t>I</t>
        </is>
      </c>
      <c r="C5065" s="12" t="inlineStr">
        <is>
          <t>Modular / portable power</t>
        </is>
      </c>
      <c r="D5065" s="12" t="inlineStr">
        <is>
          <t>Home run JB-SC-1-TC01 to the control / marshalling room</t>
        </is>
      </c>
      <c r="E5065" s="12" t="inlineStr"/>
      <c r="F5065" s="12" t="inlineStr">
        <is>
          <t>SC-1 PCM + 15 kV GCB</t>
        </is>
      </c>
      <c r="G5065" s="12" t="inlineStr">
        <is>
          <t>JB-SC-1-TC01</t>
        </is>
      </c>
      <c r="H5065" s="12" t="inlineStr">
        <is>
          <t>SC-1: aeroderivative simple-cycle unit (50 MW class)</t>
        </is>
      </c>
      <c r="I5065" s="12" t="inlineStr">
        <is>
          <t>Instrumentation</t>
        </is>
      </c>
      <c r="J5065" s="12" t="inlineStr">
        <is>
          <t>Thermocouple extension KX, #16 shielded pairs, PLTC</t>
        </is>
      </c>
      <c r="K5065" s="12" t="inlineStr">
        <is>
          <t>TCX|24 pr|16</t>
        </is>
      </c>
      <c r="L5065" s="12" t="inlineStr">
        <is>
          <t>24 pr</t>
        </is>
      </c>
      <c r="M5065" s="12" t="inlineStr">
        <is>
          <t>16</t>
        </is>
      </c>
      <c r="N5065" s="12" t="n">
        <v>1</v>
      </c>
      <c r="O5065" s="12" t="n">
        <v>1</v>
      </c>
      <c r="P5065" s="12" t="n"/>
      <c r="Q5065" s="12" t="n"/>
      <c r="R5065" s="12" t="n"/>
      <c r="S5065" s="12" t="inlineStr">
        <is>
          <t>Tray</t>
        </is>
      </c>
      <c r="T5065" s="15" t="n">
        <v>5</v>
      </c>
      <c r="U5065" s="15" t="n">
        <v>62</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I-I-0452</t>
        </is>
      </c>
      <c r="B5066" s="12" t="inlineStr">
        <is>
          <t>I</t>
        </is>
      </c>
      <c r="C5066" s="12" t="inlineStr">
        <is>
          <t>Modular / portable power</t>
        </is>
      </c>
      <c r="D5066" s="12" t="inlineStr">
        <is>
          <t>Thermocouple to TC JB JB-SC-1-TC02: 20 x 1 pr (field cables)</t>
        </is>
      </c>
      <c r="E5066" s="12" t="inlineStr">
        <is>
          <t>SC-1</t>
        </is>
      </c>
      <c r="F5066" s="12" t="inlineStr">
        <is>
          <t>SC-1: aeroderivative simple-cycle unit (50 MW class)</t>
        </is>
      </c>
      <c r="G5066" s="12" t="inlineStr">
        <is>
          <t>JB-SC-1-TC02</t>
        </is>
      </c>
      <c r="H5066" s="12" t="inlineStr">
        <is>
          <t>SC-1: aeroderivative simple-cycle unit (50 MW class)</t>
        </is>
      </c>
      <c r="I5066" s="12" t="inlineStr">
        <is>
          <t>Instrumentation</t>
        </is>
      </c>
      <c r="J5066" s="12" t="inlineStr">
        <is>
          <t>Thermocouple extension KX, #16 shielded pairs, PLTC</t>
        </is>
      </c>
      <c r="K5066" s="12" t="inlineStr">
        <is>
          <t>TCX|1 pr|16</t>
        </is>
      </c>
      <c r="L5066" s="12" t="inlineStr">
        <is>
          <t>1 pr</t>
        </is>
      </c>
      <c r="M5066" s="12" t="inlineStr">
        <is>
          <t>16</t>
        </is>
      </c>
      <c r="N5066" s="12" t="n">
        <v>20</v>
      </c>
      <c r="O5066" s="12" t="n">
        <v>1</v>
      </c>
      <c r="P5066" s="12" t="n"/>
      <c r="Q5066" s="12" t="n"/>
      <c r="R5066" s="12" t="n"/>
      <c r="S5066" s="12" t="inlineStr">
        <is>
          <t>Tray / conduit</t>
        </is>
      </c>
      <c r="T5066" s="15" t="n">
        <v>99</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I-I-0453</t>
        </is>
      </c>
      <c r="B5067" s="12" t="inlineStr">
        <is>
          <t>I</t>
        </is>
      </c>
      <c r="C5067" s="12" t="inlineStr">
        <is>
          <t>Modular / portable power</t>
        </is>
      </c>
      <c r="D5067" s="12" t="inlineStr">
        <is>
          <t>Home run JB-SC-1-TC02 to the control / marshalling room</t>
        </is>
      </c>
      <c r="E5067" s="12" t="inlineStr"/>
      <c r="F5067" s="12" t="inlineStr">
        <is>
          <t>SC-1 PCM + 15 kV GCB</t>
        </is>
      </c>
      <c r="G5067" s="12" t="inlineStr">
        <is>
          <t>JB-SC-1-TC02</t>
        </is>
      </c>
      <c r="H5067" s="12" t="inlineStr">
        <is>
          <t>SC-1: aeroderivative simple-cycle unit (50 MW class)</t>
        </is>
      </c>
      <c r="I5067" s="12" t="inlineStr">
        <is>
          <t>Instrumentation</t>
        </is>
      </c>
      <c r="J5067" s="12" t="inlineStr">
        <is>
          <t>Thermocouple extension KX, #16 shielded pairs, PLTC</t>
        </is>
      </c>
      <c r="K5067" s="12" t="inlineStr">
        <is>
          <t>TCX|24 pr|16</t>
        </is>
      </c>
      <c r="L5067" s="12" t="inlineStr">
        <is>
          <t>24 pr</t>
        </is>
      </c>
      <c r="M5067" s="12" t="inlineStr">
        <is>
          <t>16</t>
        </is>
      </c>
      <c r="N5067" s="12" t="n">
        <v>1</v>
      </c>
      <c r="O5067" s="12" t="n">
        <v>1</v>
      </c>
      <c r="P5067" s="12" t="n"/>
      <c r="Q5067" s="12" t="n"/>
      <c r="R5067" s="12" t="n"/>
      <c r="S5067" s="12" t="inlineStr">
        <is>
          <t>Tray</t>
        </is>
      </c>
      <c r="T5067" s="15" t="n">
        <v>5</v>
      </c>
      <c r="U5067" s="15" t="n">
        <v>62</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I-I-0454</t>
        </is>
      </c>
      <c r="B5068" s="12" t="inlineStr">
        <is>
          <t>I</t>
        </is>
      </c>
      <c r="C5068" s="12" t="inlineStr">
        <is>
          <t>Modular / portable power</t>
        </is>
      </c>
      <c r="D5068" s="12" t="inlineStr">
        <is>
          <t>Analog instrument to JB JB-SC-2 CEMS shelter-AI01: 12 x 1 pr (field cables)</t>
        </is>
      </c>
      <c r="E5068" s="12" t="inlineStr"/>
      <c r="F5068" s="12" t="inlineStr">
        <is>
          <t>SC-2 CEMS shelter</t>
        </is>
      </c>
      <c r="G5068" s="12" t="inlineStr">
        <is>
          <t>JB-SC-2 CEMS shelter-AI01</t>
        </is>
      </c>
      <c r="H5068" s="12" t="inlineStr">
        <is>
          <t>SC-2 CEMS shelter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12</v>
      </c>
      <c r="O5068" s="12" t="n">
        <v>1</v>
      </c>
      <c r="P5068" s="12" t="n"/>
      <c r="Q5068" s="12" t="n"/>
      <c r="R5068" s="12" t="n"/>
      <c r="S5068" s="12" t="inlineStr">
        <is>
          <t>Tray / conduit</t>
        </is>
      </c>
      <c r="T5068" s="15" t="n">
        <v>57</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I-I-0455</t>
        </is>
      </c>
      <c r="B5069" s="12" t="inlineStr">
        <is>
          <t>I</t>
        </is>
      </c>
      <c r="C5069" s="12" t="inlineStr">
        <is>
          <t>Modular / portable power</t>
        </is>
      </c>
      <c r="D5069" s="12" t="inlineStr">
        <is>
          <t>Home run JB-SC-2 CEMS shelter-AI01 to the control / marshalling room</t>
        </is>
      </c>
      <c r="E5069" s="12" t="inlineStr"/>
      <c r="F5069" s="12" t="inlineStr">
        <is>
          <t>SC-2 PCM + 15 kV GCB</t>
        </is>
      </c>
      <c r="G5069" s="12" t="inlineStr">
        <is>
          <t>JB-SC-2 CEMS shelter-AI01</t>
        </is>
      </c>
      <c r="H5069" s="12" t="inlineStr">
        <is>
          <t>SC-2 CEMS shelter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74</v>
      </c>
      <c r="U5069" s="15" t="n">
        <v>112</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I-I-0456</t>
        </is>
      </c>
      <c r="B5070" s="12" t="inlineStr">
        <is>
          <t>I</t>
        </is>
      </c>
      <c r="C5070" s="12" t="inlineStr">
        <is>
          <t>Modular / portable power</t>
        </is>
      </c>
      <c r="D5070" s="12" t="inlineStr">
        <is>
          <t>Discrete device to JB JB-SC-2 CEMS shelter-DI01: 10 x 1 pr (field cables)</t>
        </is>
      </c>
      <c r="E5070" s="12" t="inlineStr"/>
      <c r="F5070" s="12" t="inlineStr">
        <is>
          <t>SC-2 CEMS shelter</t>
        </is>
      </c>
      <c r="G5070" s="12" t="inlineStr">
        <is>
          <t>JB-SC-2 CEMS shelter-DI01</t>
        </is>
      </c>
      <c r="H5070" s="12" t="inlineStr">
        <is>
          <t>SC-2 CEMS shelter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10</v>
      </c>
      <c r="O5070" s="12" t="n">
        <v>1</v>
      </c>
      <c r="P5070" s="12" t="n"/>
      <c r="Q5070" s="12" t="n"/>
      <c r="R5070" s="12" t="n"/>
      <c r="S5070" s="12" t="inlineStr">
        <is>
          <t>Tray / conduit</t>
        </is>
      </c>
      <c r="T5070" s="15" t="n">
        <v>57</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I-I-0457</t>
        </is>
      </c>
      <c r="B5071" s="12" t="inlineStr">
        <is>
          <t>I</t>
        </is>
      </c>
      <c r="C5071" s="12" t="inlineStr">
        <is>
          <t>Modular / portable power</t>
        </is>
      </c>
      <c r="D5071" s="12" t="inlineStr">
        <is>
          <t>Home run JB-SC-2 CEMS shelter-DI01 to the control / marshalling room</t>
        </is>
      </c>
      <c r="E5071" s="12" t="inlineStr"/>
      <c r="F5071" s="12" t="inlineStr">
        <is>
          <t>SC-2 PCM + 15 kV GCB</t>
        </is>
      </c>
      <c r="G5071" s="12" t="inlineStr">
        <is>
          <t>JB-SC-2 CEMS shelter-DI01</t>
        </is>
      </c>
      <c r="H5071" s="12" t="inlineStr">
        <is>
          <t>SC-2 CEMS shelter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74</v>
      </c>
      <c r="U5071" s="15" t="n">
        <v>112</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I-I-0458</t>
        </is>
      </c>
      <c r="B5072" s="12" t="inlineStr">
        <is>
          <t>I</t>
        </is>
      </c>
      <c r="C5072" s="12" t="inlineStr">
        <is>
          <t>Modular / portable power</t>
        </is>
      </c>
      <c r="D5072" s="12" t="inlineStr">
        <is>
          <t>Analog instrument to JB JB-SC-2 SCR / CO cata-AI01: 16 x 1 pr (field cables)</t>
        </is>
      </c>
      <c r="E5072" s="12" t="inlineStr"/>
      <c r="F5072" s="12" t="inlineStr">
        <is>
          <t>SC-2 SCR / CO catalyst</t>
        </is>
      </c>
      <c r="G5072" s="12" t="inlineStr">
        <is>
          <t>JB-SC-2 SCR / CO cata-AI01</t>
        </is>
      </c>
      <c r="H5072" s="12" t="inlineStr">
        <is>
          <t>SC-2 SCR / CO catalyst</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16</v>
      </c>
      <c r="O5072" s="12" t="n">
        <v>1</v>
      </c>
      <c r="P5072" s="12" t="n"/>
      <c r="Q5072" s="12" t="n"/>
      <c r="R5072" s="12" t="n"/>
      <c r="S5072" s="12" t="inlineStr">
        <is>
          <t>Tray / conduit</t>
        </is>
      </c>
      <c r="T5072" s="15" t="n">
        <v>74</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I-I-0459</t>
        </is>
      </c>
      <c r="B5073" s="12" t="inlineStr">
        <is>
          <t>I</t>
        </is>
      </c>
      <c r="C5073" s="12" t="inlineStr">
        <is>
          <t>Modular / portable power</t>
        </is>
      </c>
      <c r="D5073" s="12" t="inlineStr">
        <is>
          <t>Home run JB-SC-2 SCR / CO cata-AI01 to the control / marshalling room</t>
        </is>
      </c>
      <c r="E5073" s="12" t="inlineStr"/>
      <c r="F5073" s="12" t="inlineStr">
        <is>
          <t>SC-2 PCM + 15 kV GCB</t>
        </is>
      </c>
      <c r="G5073" s="12" t="inlineStr">
        <is>
          <t>JB-SC-2 SCR / CO cata-AI01</t>
        </is>
      </c>
      <c r="H5073" s="12" t="inlineStr">
        <is>
          <t>SC-2 SCR / CO catalyst</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48</v>
      </c>
      <c r="U5073" s="15" t="n">
        <v>64</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I-I-0460</t>
        </is>
      </c>
      <c r="B5074" s="12" t="inlineStr">
        <is>
          <t>I</t>
        </is>
      </c>
      <c r="C5074" s="12" t="inlineStr">
        <is>
          <t>Modular / portable power</t>
        </is>
      </c>
      <c r="D5074" s="12" t="inlineStr">
        <is>
          <t>Discrete device to JB JB-SC-2 SCR / CO cata-DI01: 8 x 1 pr (field cables)</t>
        </is>
      </c>
      <c r="E5074" s="12" t="inlineStr"/>
      <c r="F5074" s="12" t="inlineStr">
        <is>
          <t>SC-2 SCR / CO catalyst</t>
        </is>
      </c>
      <c r="G5074" s="12" t="inlineStr">
        <is>
          <t>JB-SC-2 SCR / CO cata-DI01</t>
        </is>
      </c>
      <c r="H5074" s="12" t="inlineStr">
        <is>
          <t>SC-2 SCR / CO catalyst</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74</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I-I-0461</t>
        </is>
      </c>
      <c r="B5075" s="12" t="inlineStr">
        <is>
          <t>I</t>
        </is>
      </c>
      <c r="C5075" s="12" t="inlineStr">
        <is>
          <t>Modular / portable power</t>
        </is>
      </c>
      <c r="D5075" s="12" t="inlineStr">
        <is>
          <t>Home run JB-SC-2 SCR / CO cata-DI01 to the control / marshalling room</t>
        </is>
      </c>
      <c r="E5075" s="12" t="inlineStr"/>
      <c r="F5075" s="12" t="inlineStr">
        <is>
          <t>SC-2 PCM + 15 kV GCB</t>
        </is>
      </c>
      <c r="G5075" s="12" t="inlineStr">
        <is>
          <t>JB-SC-2 SCR / CO cata-DI01</t>
        </is>
      </c>
      <c r="H5075" s="12" t="inlineStr">
        <is>
          <t>SC-2 SCR / CO catalyst</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48</v>
      </c>
      <c r="U5075" s="15" t="n">
        <v>64</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I-I-0462</t>
        </is>
      </c>
      <c r="B5076" s="12" t="inlineStr">
        <is>
          <t>I</t>
        </is>
      </c>
      <c r="C5076" s="12" t="inlineStr">
        <is>
          <t>Modular / portable power</t>
        </is>
      </c>
      <c r="D5076" s="12" t="inlineStr">
        <is>
          <t>Analog instrument to JB JB-SC-2 ammonia flow--AI01: 8 x 1 pr (field cables)</t>
        </is>
      </c>
      <c r="E5076" s="12" t="inlineStr"/>
      <c r="F5076" s="12" t="inlineStr">
        <is>
          <t>SC-2 ammonia flow-control unit</t>
        </is>
      </c>
      <c r="G5076" s="12" t="inlineStr">
        <is>
          <t>JB-SC-2 ammonia flow--AI01</t>
        </is>
      </c>
      <c r="H5076" s="12" t="inlineStr">
        <is>
          <t>SC-2 ammonia flow-control unit</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8</v>
      </c>
      <c r="O5076" s="12" t="n">
        <v>1</v>
      </c>
      <c r="P5076" s="12" t="n"/>
      <c r="Q5076" s="12" t="n"/>
      <c r="R5076" s="12" t="n"/>
      <c r="S5076" s="12" t="inlineStr">
        <is>
          <t>Tray / conduit</t>
        </is>
      </c>
      <c r="T5076" s="15" t="n">
        <v>40</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I-I-0463</t>
        </is>
      </c>
      <c r="B5077" s="12" t="inlineStr">
        <is>
          <t>I</t>
        </is>
      </c>
      <c r="C5077" s="12" t="inlineStr">
        <is>
          <t>Modular / portable power</t>
        </is>
      </c>
      <c r="D5077" s="12" t="inlineStr">
        <is>
          <t>Home run JB-SC-2 ammonia flow--AI01 to the control / marshalling room</t>
        </is>
      </c>
      <c r="E5077" s="12" t="inlineStr"/>
      <c r="F5077" s="12" t="inlineStr">
        <is>
          <t>SC-2 PCM + 15 kV GCB</t>
        </is>
      </c>
      <c r="G5077" s="12" t="inlineStr">
        <is>
          <t>JB-SC-2 ammonia flow--AI01</t>
        </is>
      </c>
      <c r="H5077" s="12" t="inlineStr">
        <is>
          <t>SC-2 ammonia flow-control unit</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48</v>
      </c>
      <c r="U5077" s="15" t="n">
        <v>62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I-I-0464</t>
        </is>
      </c>
      <c r="B5078" s="12" t="inlineStr">
        <is>
          <t>I</t>
        </is>
      </c>
      <c r="C5078" s="12" t="inlineStr">
        <is>
          <t>Modular / portable power</t>
        </is>
      </c>
      <c r="D5078" s="12" t="inlineStr">
        <is>
          <t>Discrete device to JB JB-SC-2 ammonia flow--DI01: 8 x 1 pr (field cables)</t>
        </is>
      </c>
      <c r="E5078" s="12" t="inlineStr"/>
      <c r="F5078" s="12" t="inlineStr">
        <is>
          <t>SC-2 ammonia flow-control unit</t>
        </is>
      </c>
      <c r="G5078" s="12" t="inlineStr">
        <is>
          <t>JB-SC-2 ammonia flow--DI01</t>
        </is>
      </c>
      <c r="H5078" s="12" t="inlineStr">
        <is>
          <t>SC-2 ammonia flow-control unit</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8</v>
      </c>
      <c r="O5078" s="12" t="n">
        <v>1</v>
      </c>
      <c r="P5078" s="12" t="n"/>
      <c r="Q5078" s="12" t="n"/>
      <c r="R5078" s="12" t="n"/>
      <c r="S5078" s="12" t="inlineStr">
        <is>
          <t>Tray / conduit</t>
        </is>
      </c>
      <c r="T5078" s="15" t="n">
        <v>40</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I-I-0465</t>
        </is>
      </c>
      <c r="B5079" s="12" t="inlineStr">
        <is>
          <t>I</t>
        </is>
      </c>
      <c r="C5079" s="12" t="inlineStr">
        <is>
          <t>Modular / portable power</t>
        </is>
      </c>
      <c r="D5079" s="12" t="inlineStr">
        <is>
          <t>Home run JB-SC-2 ammonia flow--DI01 to the control / marshalling room</t>
        </is>
      </c>
      <c r="E5079" s="12" t="inlineStr"/>
      <c r="F5079" s="12" t="inlineStr">
        <is>
          <t>SC-2 PCM + 15 kV GCB</t>
        </is>
      </c>
      <c r="G5079" s="12" t="inlineStr">
        <is>
          <t>JB-SC-2 ammonia flow--DI01</t>
        </is>
      </c>
      <c r="H5079" s="12" t="inlineStr">
        <is>
          <t>SC-2 ammonia flow-control unit</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48</v>
      </c>
      <c r="U5079" s="15" t="n">
        <v>62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I-I-0466</t>
        </is>
      </c>
      <c r="B5080" s="12" t="inlineStr">
        <is>
          <t>I</t>
        </is>
      </c>
      <c r="C5080" s="12" t="inlineStr">
        <is>
          <t>Modular / portable power</t>
        </is>
      </c>
      <c r="D5080" s="12" t="inlineStr">
        <is>
          <t>Analog instrument to JB JB-SC-2 auxiliary ski-AI01: 14 x 1 pr (field cables)</t>
        </is>
      </c>
      <c r="E5080" s="12" t="inlineStr"/>
      <c r="F5080" s="12" t="inlineStr">
        <is>
          <t>SC-2 auxiliary skids: fuel-gas module, water-wash skid</t>
        </is>
      </c>
      <c r="G5080" s="12" t="inlineStr">
        <is>
          <t>JB-SC-2 auxiliary ski-AI01</t>
        </is>
      </c>
      <c r="H5080" s="12" t="inlineStr">
        <is>
          <t>SC-2 auxiliary skids: fuel-gas module, water-wash skid</t>
        </is>
      </c>
      <c r="I5080" s="12" t="inlineStr">
        <is>
          <t>Instrumentation</t>
        </is>
      </c>
      <c r="J5080" s="12" t="inlineStr">
        <is>
          <t>Instrumentation ITC / PLTC, IS, #18 shielded pairs, blue jacket</t>
        </is>
      </c>
      <c r="K5080" s="12" t="inlineStr">
        <is>
          <t>ITC|1 pr|16</t>
        </is>
      </c>
      <c r="L5080" s="12" t="inlineStr">
        <is>
          <t>1 pr</t>
        </is>
      </c>
      <c r="M5080" s="12" t="inlineStr">
        <is>
          <t>16</t>
        </is>
      </c>
      <c r="N5080" s="12" t="n">
        <v>14</v>
      </c>
      <c r="O5080" s="12" t="n">
        <v>1</v>
      </c>
      <c r="P5080" s="12" t="n"/>
      <c r="Q5080" s="12" t="n"/>
      <c r="R5080" s="12" t="n"/>
      <c r="S5080" s="12" t="inlineStr">
        <is>
          <t>Tray / conduit</t>
        </is>
      </c>
      <c r="T5080" s="15" t="n">
        <v>63</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I-I-0467</t>
        </is>
      </c>
      <c r="B5081" s="12" t="inlineStr">
        <is>
          <t>I</t>
        </is>
      </c>
      <c r="C5081" s="12" t="inlineStr">
        <is>
          <t>Modular / portable power</t>
        </is>
      </c>
      <c r="D5081" s="12" t="inlineStr">
        <is>
          <t>Home run JB-SC-2 auxiliary ski-AI01 to the control / marshalling room</t>
        </is>
      </c>
      <c r="E5081" s="12" t="inlineStr"/>
      <c r="F5081" s="12" t="inlineStr">
        <is>
          <t>SC-2 PCM + 15 kV GCB</t>
        </is>
      </c>
      <c r="G5081" s="12" t="inlineStr">
        <is>
          <t>JB-SC-2 auxiliary ski-AI01</t>
        </is>
      </c>
      <c r="H5081" s="12" t="inlineStr">
        <is>
          <t>SC-2 auxiliary skids: fuel-gas module, water-wash skid</t>
        </is>
      </c>
      <c r="I5081" s="12" t="inlineStr">
        <is>
          <t>Instrumentation</t>
        </is>
      </c>
      <c r="J5081" s="12" t="inlineStr">
        <is>
          <t>Instrumentation ITC / PLTC, IS, #18 shielded pairs, blue jacket</t>
        </is>
      </c>
      <c r="K5081" s="12" t="inlineStr">
        <is>
          <t>ITC|24 pr|18</t>
        </is>
      </c>
      <c r="L5081" s="12" t="inlineStr">
        <is>
          <t>24 pr</t>
        </is>
      </c>
      <c r="M5081" s="12" t="inlineStr">
        <is>
          <t>18</t>
        </is>
      </c>
      <c r="N5081" s="12" t="n">
        <v>1</v>
      </c>
      <c r="O5081" s="12" t="n">
        <v>1</v>
      </c>
      <c r="P5081" s="12" t="n"/>
      <c r="Q5081" s="12" t="n"/>
      <c r="R5081" s="12" t="n"/>
      <c r="S5081" s="12" t="inlineStr">
        <is>
          <t>Duct bank</t>
        </is>
      </c>
      <c r="T5081" s="15" t="n">
        <v>10</v>
      </c>
      <c r="U5081" s="15" t="n">
        <v>43</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I-I-0468</t>
        </is>
      </c>
      <c r="B5082" s="12" t="inlineStr">
        <is>
          <t>I</t>
        </is>
      </c>
      <c r="C5082" s="12" t="inlineStr">
        <is>
          <t>Modular / portable power</t>
        </is>
      </c>
      <c r="D5082" s="12" t="inlineStr">
        <is>
          <t>Discrete device to JB JB-SC-2 auxiliary ski-DI01: 12 x 1 pr (field cables)</t>
        </is>
      </c>
      <c r="E5082" s="12" t="inlineStr"/>
      <c r="F5082" s="12" t="inlineStr">
        <is>
          <t>SC-2 auxiliary skids: fuel-gas module, water-wash skid</t>
        </is>
      </c>
      <c r="G5082" s="12" t="inlineStr">
        <is>
          <t>JB-SC-2 auxiliary ski-DI01</t>
        </is>
      </c>
      <c r="H5082" s="12" t="inlineStr">
        <is>
          <t>SC-2 auxiliary skids: fuel-gas module, water-wash skid</t>
        </is>
      </c>
      <c r="I5082" s="12" t="inlineStr">
        <is>
          <t>Instrumentation</t>
        </is>
      </c>
      <c r="J5082" s="12" t="inlineStr">
        <is>
          <t>Instrumentation ITC / PLTC, IS, #18 shielded pairs, blue jacket</t>
        </is>
      </c>
      <c r="K5082" s="12" t="inlineStr">
        <is>
          <t>ITC|1 pr|16</t>
        </is>
      </c>
      <c r="L5082" s="12" t="inlineStr">
        <is>
          <t>1 pr</t>
        </is>
      </c>
      <c r="M5082" s="12" t="inlineStr">
        <is>
          <t>16</t>
        </is>
      </c>
      <c r="N5082" s="12" t="n">
        <v>12</v>
      </c>
      <c r="O5082" s="12" t="n">
        <v>1</v>
      </c>
      <c r="P5082" s="12" t="n"/>
      <c r="Q5082" s="12" t="n"/>
      <c r="R5082" s="12" t="n"/>
      <c r="S5082" s="12" t="inlineStr">
        <is>
          <t>Tray / conduit</t>
        </is>
      </c>
      <c r="T5082" s="15" t="n">
        <v>63</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I-I-0469</t>
        </is>
      </c>
      <c r="B5083" s="12" t="inlineStr">
        <is>
          <t>I</t>
        </is>
      </c>
      <c r="C5083" s="12" t="inlineStr">
        <is>
          <t>Modular / portable power</t>
        </is>
      </c>
      <c r="D5083" s="12" t="inlineStr">
        <is>
          <t>Home run JB-SC-2 auxiliary ski-DI01 to the control / marshalling room</t>
        </is>
      </c>
      <c r="E5083" s="12" t="inlineStr"/>
      <c r="F5083" s="12" t="inlineStr">
        <is>
          <t>SC-2 PCM + 15 kV GCB</t>
        </is>
      </c>
      <c r="G5083" s="12" t="inlineStr">
        <is>
          <t>JB-SC-2 auxiliary ski-DI01</t>
        </is>
      </c>
      <c r="H5083" s="12" t="inlineStr">
        <is>
          <t>SC-2 auxiliary skids: fuel-gas module, water-wash skid</t>
        </is>
      </c>
      <c r="I5083" s="12" t="inlineStr">
        <is>
          <t>Instrumentation</t>
        </is>
      </c>
      <c r="J5083" s="12" t="inlineStr">
        <is>
          <t>Instrumentation ITC / PLTC, IS, #18 shielded pairs, blue jacket</t>
        </is>
      </c>
      <c r="K5083" s="12" t="inlineStr">
        <is>
          <t>ITC|24 pr|18</t>
        </is>
      </c>
      <c r="L5083" s="12" t="inlineStr">
        <is>
          <t>24 pr</t>
        </is>
      </c>
      <c r="M5083" s="12" t="inlineStr">
        <is>
          <t>18</t>
        </is>
      </c>
      <c r="N5083" s="12" t="n">
        <v>1</v>
      </c>
      <c r="O5083" s="12" t="n">
        <v>1</v>
      </c>
      <c r="P5083" s="12" t="n"/>
      <c r="Q5083" s="12" t="n"/>
      <c r="R5083" s="12" t="n"/>
      <c r="S5083" s="12" t="inlineStr">
        <is>
          <t>Duct bank</t>
        </is>
      </c>
      <c r="T5083" s="15" t="n">
        <v>10</v>
      </c>
      <c r="U5083" s="15" t="n">
        <v>43</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I-I-0470</t>
        </is>
      </c>
      <c r="B5084" s="12" t="inlineStr">
        <is>
          <t>I</t>
        </is>
      </c>
      <c r="C5084" s="12" t="inlineStr">
        <is>
          <t>Modular / portable power</t>
        </is>
      </c>
      <c r="D5084" s="12" t="inlineStr">
        <is>
          <t>Analog instrument to JB JB-SC-2 lube-oil fin--AI01: 4 x 1 pr (field cables)</t>
        </is>
      </c>
      <c r="E5084" s="12" t="inlineStr"/>
      <c r="F5084" s="12" t="inlineStr">
        <is>
          <t>SC-2 lube-oil fin-fan cooler</t>
        </is>
      </c>
      <c r="G5084" s="12" t="inlineStr">
        <is>
          <t>JB-SC-2 lube-oil fin--AI01</t>
        </is>
      </c>
      <c r="H5084" s="12" t="inlineStr">
        <is>
          <t>SC-2 lube-oil fin-fan cooler</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4</v>
      </c>
      <c r="O5084" s="12" t="n">
        <v>1</v>
      </c>
      <c r="P5084" s="12" t="n"/>
      <c r="Q5084" s="12" t="n"/>
      <c r="R5084" s="12" t="n"/>
      <c r="S5084" s="12" t="inlineStr">
        <is>
          <t>Tray / conduit</t>
        </is>
      </c>
      <c r="T5084" s="15" t="n">
        <v>46</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I-I-0471</t>
        </is>
      </c>
      <c r="B5085" s="12" t="inlineStr">
        <is>
          <t>I</t>
        </is>
      </c>
      <c r="C5085" s="12" t="inlineStr">
        <is>
          <t>Modular / portable power</t>
        </is>
      </c>
      <c r="D5085" s="12" t="inlineStr">
        <is>
          <t>Home run JB-SC-2 lube-oil fin--AI01 to the control / marshalling room</t>
        </is>
      </c>
      <c r="E5085" s="12" t="inlineStr"/>
      <c r="F5085" s="12" t="inlineStr">
        <is>
          <t>SC-2 PCM + 15 kV GCB</t>
        </is>
      </c>
      <c r="G5085" s="12" t="inlineStr">
        <is>
          <t>JB-SC-2 lube-oil fin--AI01</t>
        </is>
      </c>
      <c r="H5085" s="12" t="inlineStr">
        <is>
          <t>SC-2 lube-oil fin-fan cooler</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4</v>
      </c>
      <c r="U5085" s="15" t="n">
        <v>38</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I-I-0472</t>
        </is>
      </c>
      <c r="B5086" s="12" t="inlineStr">
        <is>
          <t>I</t>
        </is>
      </c>
      <c r="C5086" s="12" t="inlineStr">
        <is>
          <t>Modular / portable power</t>
        </is>
      </c>
      <c r="D5086" s="12" t="inlineStr">
        <is>
          <t>Discrete device to JB JB-SC-2 lube-oil fin--DI01: 8 x 1 pr (field cables)</t>
        </is>
      </c>
      <c r="E5086" s="12" t="inlineStr"/>
      <c r="F5086" s="12" t="inlineStr">
        <is>
          <t>SC-2 lube-oil fin-fan cooler</t>
        </is>
      </c>
      <c r="G5086" s="12" t="inlineStr">
        <is>
          <t>JB-SC-2 lube-oil fin--DI01</t>
        </is>
      </c>
      <c r="H5086" s="12" t="inlineStr">
        <is>
          <t>SC-2 lube-oil fin-fan cooler</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8</v>
      </c>
      <c r="O5086" s="12" t="n">
        <v>1</v>
      </c>
      <c r="P5086" s="12" t="n"/>
      <c r="Q5086" s="12" t="n"/>
      <c r="R5086" s="12" t="n"/>
      <c r="S5086" s="12" t="inlineStr">
        <is>
          <t>Tray / conduit</t>
        </is>
      </c>
      <c r="T5086" s="15" t="n">
        <v>46</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I-I-0473</t>
        </is>
      </c>
      <c r="B5087" s="12" t="inlineStr">
        <is>
          <t>I</t>
        </is>
      </c>
      <c r="C5087" s="12" t="inlineStr">
        <is>
          <t>Modular / portable power</t>
        </is>
      </c>
      <c r="D5087" s="12" t="inlineStr">
        <is>
          <t>Home run JB-SC-2 lube-oil fin--DI01 to the control / marshalling room</t>
        </is>
      </c>
      <c r="E5087" s="12" t="inlineStr"/>
      <c r="F5087" s="12" t="inlineStr">
        <is>
          <t>SC-2 PCM + 15 kV GCB</t>
        </is>
      </c>
      <c r="G5087" s="12" t="inlineStr">
        <is>
          <t>JB-SC-2 lube-oil fin--DI01</t>
        </is>
      </c>
      <c r="H5087" s="12" t="inlineStr">
        <is>
          <t>SC-2 lube-oil fin-fan cooler</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4</v>
      </c>
      <c r="U5087" s="15" t="n">
        <v>38</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I-I-0474</t>
        </is>
      </c>
      <c r="B5088" s="12" t="inlineStr">
        <is>
          <t>I</t>
        </is>
      </c>
      <c r="C5088" s="12" t="inlineStr">
        <is>
          <t>Modular / portable power</t>
        </is>
      </c>
      <c r="D5088" s="12" t="inlineStr">
        <is>
          <t>Analog instrument to JB JB-SC-2 tempering-air-AI01: 8 x 1 pr (field cables)</t>
        </is>
      </c>
      <c r="E5088" s="12" t="inlineStr"/>
      <c r="F5088" s="12" t="inlineStr">
        <is>
          <t>SC-2 tempering-air fans (2 x 100 %)</t>
        </is>
      </c>
      <c r="G5088" s="12" t="inlineStr">
        <is>
          <t>JB-SC-2 tempering-air-AI01</t>
        </is>
      </c>
      <c r="H5088" s="12" t="inlineStr">
        <is>
          <t>SC-2 tempering-air fans (2 x 100 %)</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8</v>
      </c>
      <c r="O5088" s="12" t="n">
        <v>1</v>
      </c>
      <c r="P5088" s="12" t="n"/>
      <c r="Q5088" s="12" t="n"/>
      <c r="R5088" s="12" t="n"/>
      <c r="S5088" s="12" t="inlineStr">
        <is>
          <t>Tray / conduit</t>
        </is>
      </c>
      <c r="T5088" s="15" t="n">
        <v>53</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I-I-0475</t>
        </is>
      </c>
      <c r="B5089" s="12" t="inlineStr">
        <is>
          <t>I</t>
        </is>
      </c>
      <c r="C5089" s="12" t="inlineStr">
        <is>
          <t>Modular / portable power</t>
        </is>
      </c>
      <c r="D5089" s="12" t="inlineStr">
        <is>
          <t>Home run JB-SC-2 tempering-air-AI01 to the control / marshalling room</t>
        </is>
      </c>
      <c r="E5089" s="12" t="inlineStr"/>
      <c r="F5089" s="12" t="inlineStr">
        <is>
          <t>SC-2 PCM + 15 kV GCB</t>
        </is>
      </c>
      <c r="G5089" s="12" t="inlineStr">
        <is>
          <t>JB-SC-2 tempering-air-AI01</t>
        </is>
      </c>
      <c r="H5089" s="12" t="inlineStr">
        <is>
          <t>SC-2 tempering-air fans (2 x 100 %)</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79</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I-I-0476</t>
        </is>
      </c>
      <c r="B5090" s="12" t="inlineStr">
        <is>
          <t>I</t>
        </is>
      </c>
      <c r="C5090" s="12" t="inlineStr">
        <is>
          <t>Modular / portable power</t>
        </is>
      </c>
      <c r="D5090" s="12" t="inlineStr">
        <is>
          <t>Discrete device to JB JB-SC-2 tempering-air-DI01: 8 x 1 pr (field cables)</t>
        </is>
      </c>
      <c r="E5090" s="12" t="inlineStr"/>
      <c r="F5090" s="12" t="inlineStr">
        <is>
          <t>SC-2 tempering-air fans (2 x 100 %)</t>
        </is>
      </c>
      <c r="G5090" s="12" t="inlineStr">
        <is>
          <t>JB-SC-2 tempering-air-DI01</t>
        </is>
      </c>
      <c r="H5090" s="12" t="inlineStr">
        <is>
          <t>SC-2 tempering-air fans (2 x 100 %)</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8</v>
      </c>
      <c r="O5090" s="12" t="n">
        <v>1</v>
      </c>
      <c r="P5090" s="12" t="n"/>
      <c r="Q5090" s="12" t="n"/>
      <c r="R5090" s="12" t="n"/>
      <c r="S5090" s="12" t="inlineStr">
        <is>
          <t>Tray / conduit</t>
        </is>
      </c>
      <c r="T5090" s="15" t="n">
        <v>53</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I-I-0477</t>
        </is>
      </c>
      <c r="B5091" s="12" t="inlineStr">
        <is>
          <t>I</t>
        </is>
      </c>
      <c r="C5091" s="12" t="inlineStr">
        <is>
          <t>Modular / portable power</t>
        </is>
      </c>
      <c r="D5091" s="12" t="inlineStr">
        <is>
          <t>Home run JB-SC-2 tempering-air-DI01 to the control / marshalling room</t>
        </is>
      </c>
      <c r="E5091" s="12" t="inlineStr"/>
      <c r="F5091" s="12" t="inlineStr">
        <is>
          <t>SC-2 PCM + 15 kV GCB</t>
        </is>
      </c>
      <c r="G5091" s="12" t="inlineStr">
        <is>
          <t>JB-SC-2 tempering-air-DI01</t>
        </is>
      </c>
      <c r="H5091" s="12" t="inlineStr">
        <is>
          <t>SC-2 tempering-air fans (2 x 100 %)</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79</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I-I-0478</t>
        </is>
      </c>
      <c r="B5092" s="12" t="inlineStr">
        <is>
          <t>I</t>
        </is>
      </c>
      <c r="C5092" s="12" t="inlineStr">
        <is>
          <t>Modular / portable power</t>
        </is>
      </c>
      <c r="D5092" s="12" t="inlineStr">
        <is>
          <t>Analog instrument to JB JB-SC-2-AI01: 20 x 1 pr (field cables)</t>
        </is>
      </c>
      <c r="E5092" s="12" t="inlineStr">
        <is>
          <t>SC-2</t>
        </is>
      </c>
      <c r="F5092" s="12" t="inlineStr">
        <is>
          <t>SC-2: aeroderivative simple-cycle unit (50 MW class)</t>
        </is>
      </c>
      <c r="G5092" s="12" t="inlineStr">
        <is>
          <t>JB-SC-2-AI01</t>
        </is>
      </c>
      <c r="H5092" s="12" t="inlineStr">
        <is>
          <t>SC-2: aeroderivative simple-cycle unit (50 MW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I-I-0479</t>
        </is>
      </c>
      <c r="B5093" s="12" t="inlineStr">
        <is>
          <t>I</t>
        </is>
      </c>
      <c r="C5093" s="12" t="inlineStr">
        <is>
          <t>Modular / portable power</t>
        </is>
      </c>
      <c r="D5093" s="12" t="inlineStr">
        <is>
          <t>Home run JB-SC-2-AI01 to the control / marshalling room</t>
        </is>
      </c>
      <c r="E5093" s="12" t="inlineStr"/>
      <c r="F5093" s="12" t="inlineStr">
        <is>
          <t>SC-2 PCM + 15 kV GCB</t>
        </is>
      </c>
      <c r="G5093" s="12" t="inlineStr">
        <is>
          <t>JB-SC-2-AI01</t>
        </is>
      </c>
      <c r="H5093" s="12" t="inlineStr">
        <is>
          <t>SC-2: aeroderivative simple-cycle unit (50 MW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I-I-0480</t>
        </is>
      </c>
      <c r="B5094" s="12" t="inlineStr">
        <is>
          <t>I</t>
        </is>
      </c>
      <c r="C5094" s="12" t="inlineStr">
        <is>
          <t>Modular / portable power</t>
        </is>
      </c>
      <c r="D5094" s="12" t="inlineStr">
        <is>
          <t>Analog instrument to JB JB-SC-2-AI02: 20 x 1 pr (field cables)</t>
        </is>
      </c>
      <c r="E5094" s="12" t="inlineStr">
        <is>
          <t>SC-2</t>
        </is>
      </c>
      <c r="F5094" s="12" t="inlineStr">
        <is>
          <t>SC-2: aeroderivative simple-cycle unit (50 MW class)</t>
        </is>
      </c>
      <c r="G5094" s="12" t="inlineStr">
        <is>
          <t>JB-SC-2-AI02</t>
        </is>
      </c>
      <c r="H5094" s="12" t="inlineStr">
        <is>
          <t>SC-2: aeroderivative simple-cycle unit (50 MW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I-I-0481</t>
        </is>
      </c>
      <c r="B5095" s="12" t="inlineStr">
        <is>
          <t>I</t>
        </is>
      </c>
      <c r="C5095" s="12" t="inlineStr">
        <is>
          <t>Modular / portable power</t>
        </is>
      </c>
      <c r="D5095" s="12" t="inlineStr">
        <is>
          <t>Home run JB-SC-2-AI02 to the control / marshalling room</t>
        </is>
      </c>
      <c r="E5095" s="12" t="inlineStr"/>
      <c r="F5095" s="12" t="inlineStr">
        <is>
          <t>SC-2 PCM + 15 kV GCB</t>
        </is>
      </c>
      <c r="G5095" s="12" t="inlineStr">
        <is>
          <t>JB-SC-2-AI02</t>
        </is>
      </c>
      <c r="H5095" s="12" t="inlineStr">
        <is>
          <t>SC-2: aeroderivative simple-cycle unit (50 MW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I-I-0482</t>
        </is>
      </c>
      <c r="B5096" s="12" t="inlineStr">
        <is>
          <t>I</t>
        </is>
      </c>
      <c r="C5096" s="12" t="inlineStr">
        <is>
          <t>Modular / portable power</t>
        </is>
      </c>
      <c r="D5096" s="12" t="inlineStr">
        <is>
          <t>Analog instrument to JB JB-SC-2-AI03: 20 x 1 pr (field cables)</t>
        </is>
      </c>
      <c r="E5096" s="12" t="inlineStr">
        <is>
          <t>SC-2</t>
        </is>
      </c>
      <c r="F5096" s="12" t="inlineStr">
        <is>
          <t>SC-2: aeroderivative simple-cycle unit (50 MW class)</t>
        </is>
      </c>
      <c r="G5096" s="12" t="inlineStr">
        <is>
          <t>JB-SC-2-AI03</t>
        </is>
      </c>
      <c r="H5096" s="12" t="inlineStr">
        <is>
          <t>SC-2: aeroderivative simple-cycle unit (50 MW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I-I-0483</t>
        </is>
      </c>
      <c r="B5097" s="12" t="inlineStr">
        <is>
          <t>I</t>
        </is>
      </c>
      <c r="C5097" s="12" t="inlineStr">
        <is>
          <t>Modular / portable power</t>
        </is>
      </c>
      <c r="D5097" s="12" t="inlineStr">
        <is>
          <t>Home run JB-SC-2-AI03 to the control / marshalling room</t>
        </is>
      </c>
      <c r="E5097" s="12" t="inlineStr"/>
      <c r="F5097" s="12" t="inlineStr">
        <is>
          <t>SC-2 PCM + 15 kV GCB</t>
        </is>
      </c>
      <c r="G5097" s="12" t="inlineStr">
        <is>
          <t>JB-SC-2-AI03</t>
        </is>
      </c>
      <c r="H5097" s="12" t="inlineStr">
        <is>
          <t>SC-2: aeroderivative simple-cycle unit (50 MW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I-I-0484</t>
        </is>
      </c>
      <c r="B5098" s="12" t="inlineStr">
        <is>
          <t>I</t>
        </is>
      </c>
      <c r="C5098" s="12" t="inlineStr">
        <is>
          <t>Modular / portable power</t>
        </is>
      </c>
      <c r="D5098" s="12" t="inlineStr">
        <is>
          <t>Analog instrument to JB JB-SC-2-AI04: 20 x 1 pr (field cables)</t>
        </is>
      </c>
      <c r="E5098" s="12" t="inlineStr">
        <is>
          <t>SC-2</t>
        </is>
      </c>
      <c r="F5098" s="12" t="inlineStr">
        <is>
          <t>SC-2: aeroderivative simple-cycle unit (50 MW class)</t>
        </is>
      </c>
      <c r="G5098" s="12" t="inlineStr">
        <is>
          <t>JB-SC-2-AI04</t>
        </is>
      </c>
      <c r="H5098" s="12" t="inlineStr">
        <is>
          <t>SC-2: aeroderivative simple-cycle unit (50 MW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I-I-0485</t>
        </is>
      </c>
      <c r="B5099" s="12" t="inlineStr">
        <is>
          <t>I</t>
        </is>
      </c>
      <c r="C5099" s="12" t="inlineStr">
        <is>
          <t>Modular / portable power</t>
        </is>
      </c>
      <c r="D5099" s="12" t="inlineStr">
        <is>
          <t>Home run JB-SC-2-AI04 to the control / marshalling room</t>
        </is>
      </c>
      <c r="E5099" s="12" t="inlineStr"/>
      <c r="F5099" s="12" t="inlineStr">
        <is>
          <t>SC-2 PCM + 15 kV GCB</t>
        </is>
      </c>
      <c r="G5099" s="12" t="inlineStr">
        <is>
          <t>JB-SC-2-AI04</t>
        </is>
      </c>
      <c r="H5099" s="12" t="inlineStr">
        <is>
          <t>SC-2: aeroderivative simple-cycle unit (50 MW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I-I-0486</t>
        </is>
      </c>
      <c r="B5100" s="12" t="inlineStr">
        <is>
          <t>I</t>
        </is>
      </c>
      <c r="C5100" s="12" t="inlineStr">
        <is>
          <t>Modular / portable power</t>
        </is>
      </c>
      <c r="D5100" s="12" t="inlineStr">
        <is>
          <t>Analog instrument to JB JB-SC-2-AI05: 20 x 1 pr (field cables)</t>
        </is>
      </c>
      <c r="E5100" s="12" t="inlineStr">
        <is>
          <t>SC-2</t>
        </is>
      </c>
      <c r="F5100" s="12" t="inlineStr">
        <is>
          <t>SC-2: aeroderivative simple-cycle unit (50 MW class)</t>
        </is>
      </c>
      <c r="G5100" s="12" t="inlineStr">
        <is>
          <t>JB-SC-2-AI05</t>
        </is>
      </c>
      <c r="H5100" s="12" t="inlineStr">
        <is>
          <t>SC-2: aeroderivative simple-cycle unit (50 MW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I-I-0487</t>
        </is>
      </c>
      <c r="B5101" s="12" t="inlineStr">
        <is>
          <t>I</t>
        </is>
      </c>
      <c r="C5101" s="12" t="inlineStr">
        <is>
          <t>Modular / portable power</t>
        </is>
      </c>
      <c r="D5101" s="12" t="inlineStr">
        <is>
          <t>Home run JB-SC-2-AI05 to the control / marshalling room</t>
        </is>
      </c>
      <c r="E5101" s="12" t="inlineStr"/>
      <c r="F5101" s="12" t="inlineStr">
        <is>
          <t>SC-2 PCM + 15 kV GCB</t>
        </is>
      </c>
      <c r="G5101" s="12" t="inlineStr">
        <is>
          <t>JB-SC-2-AI05</t>
        </is>
      </c>
      <c r="H5101" s="12" t="inlineStr">
        <is>
          <t>SC-2: aeroderivative simple-cycle unit (50 MW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I-I-0488</t>
        </is>
      </c>
      <c r="B5102" s="12" t="inlineStr">
        <is>
          <t>I</t>
        </is>
      </c>
      <c r="C5102" s="12" t="inlineStr">
        <is>
          <t>Modular / portable power</t>
        </is>
      </c>
      <c r="D5102" s="12" t="inlineStr">
        <is>
          <t>Analog instrument to JB JB-SC-2-AI06: 20 x 1 pr (field cables)</t>
        </is>
      </c>
      <c r="E5102" s="12" t="inlineStr">
        <is>
          <t>SC-2</t>
        </is>
      </c>
      <c r="F5102" s="12" t="inlineStr">
        <is>
          <t>SC-2: aeroderivative simple-cycle unit (50 MW class)</t>
        </is>
      </c>
      <c r="G5102" s="12" t="inlineStr">
        <is>
          <t>JB-SC-2-AI06</t>
        </is>
      </c>
      <c r="H5102" s="12" t="inlineStr">
        <is>
          <t>SC-2: aeroderivative simple-cycle unit (50 MW class)</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I-I-0489</t>
        </is>
      </c>
      <c r="B5103" s="12" t="inlineStr">
        <is>
          <t>I</t>
        </is>
      </c>
      <c r="C5103" s="12" t="inlineStr">
        <is>
          <t>Modular / portable power</t>
        </is>
      </c>
      <c r="D5103" s="12" t="inlineStr">
        <is>
          <t>Home run JB-SC-2-AI06 to the control / marshalling room</t>
        </is>
      </c>
      <c r="E5103" s="12" t="inlineStr"/>
      <c r="F5103" s="12" t="inlineStr">
        <is>
          <t>SC-2 PCM + 15 kV GCB</t>
        </is>
      </c>
      <c r="G5103" s="12" t="inlineStr">
        <is>
          <t>JB-SC-2-AI06</t>
        </is>
      </c>
      <c r="H5103" s="12" t="inlineStr">
        <is>
          <t>SC-2: aeroderivative simple-cycle unit (50 MW class)</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I-I-0490</t>
        </is>
      </c>
      <c r="B5104" s="12" t="inlineStr">
        <is>
          <t>I</t>
        </is>
      </c>
      <c r="C5104" s="12" t="inlineStr">
        <is>
          <t>Modular / portable power</t>
        </is>
      </c>
      <c r="D5104" s="12" t="inlineStr">
        <is>
          <t>Analog instrument to JB JB-SC-2-AI07: 20 x 1 pr (field cables)</t>
        </is>
      </c>
      <c r="E5104" s="12" t="inlineStr">
        <is>
          <t>SC-2</t>
        </is>
      </c>
      <c r="F5104" s="12" t="inlineStr">
        <is>
          <t>SC-2: aeroderivative simple-cycle unit (50 MW class)</t>
        </is>
      </c>
      <c r="G5104" s="12" t="inlineStr">
        <is>
          <t>JB-SC-2-AI07</t>
        </is>
      </c>
      <c r="H5104" s="12" t="inlineStr">
        <is>
          <t>SC-2: aeroderivative simple-cycle unit (50 MW class)</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I-I-0491</t>
        </is>
      </c>
      <c r="B5105" s="12" t="inlineStr">
        <is>
          <t>I</t>
        </is>
      </c>
      <c r="C5105" s="12" t="inlineStr">
        <is>
          <t>Modular / portable power</t>
        </is>
      </c>
      <c r="D5105" s="12" t="inlineStr">
        <is>
          <t>Home run JB-SC-2-AI07 to the control / marshalling room</t>
        </is>
      </c>
      <c r="E5105" s="12" t="inlineStr"/>
      <c r="F5105" s="12" t="inlineStr">
        <is>
          <t>SC-2 PCM + 15 kV GCB</t>
        </is>
      </c>
      <c r="G5105" s="12" t="inlineStr">
        <is>
          <t>JB-SC-2-AI07</t>
        </is>
      </c>
      <c r="H5105" s="12" t="inlineStr">
        <is>
          <t>SC-2: aeroderivative simple-cycle unit (50 MW class)</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I-I-0492</t>
        </is>
      </c>
      <c r="B5106" s="12" t="inlineStr">
        <is>
          <t>I</t>
        </is>
      </c>
      <c r="C5106" s="12" t="inlineStr">
        <is>
          <t>Modular / portable power</t>
        </is>
      </c>
      <c r="D5106" s="12" t="inlineStr">
        <is>
          <t>Analog instrument to JB JB-SC-2-AI08: 10 x 1 pr (field cables)</t>
        </is>
      </c>
      <c r="E5106" s="12" t="inlineStr">
        <is>
          <t>SC-2</t>
        </is>
      </c>
      <c r="F5106" s="12" t="inlineStr">
        <is>
          <t>SC-2: aeroderivative simple-cycle unit (50 MW class)</t>
        </is>
      </c>
      <c r="G5106" s="12" t="inlineStr">
        <is>
          <t>JB-SC-2-AI08</t>
        </is>
      </c>
      <c r="H5106" s="12" t="inlineStr">
        <is>
          <t>SC-2: aeroderivative simple-cycle unit (50 MW class)</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10</v>
      </c>
      <c r="O5106" s="12" t="n">
        <v>1</v>
      </c>
      <c r="P5106" s="12" t="n"/>
      <c r="Q5106" s="12" t="n"/>
      <c r="R5106" s="12" t="n"/>
      <c r="S5106" s="12" t="inlineStr">
        <is>
          <t>Tray / conduit</t>
        </is>
      </c>
      <c r="T5106" s="15" t="n">
        <v>99</v>
      </c>
      <c r="U5106" s="15" t="n">
        <v>10</v>
      </c>
      <c r="V5106" s="15">
        <f>ROUNDUP((T5106+U5106+2*'Read Me'!$B$13)*(1+'Read Me'!$B$12),-1)</f>
        <v/>
      </c>
      <c r="W5106" s="15">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I-I-0493</t>
        </is>
      </c>
      <c r="B5107" s="12" t="inlineStr">
        <is>
          <t>I</t>
        </is>
      </c>
      <c r="C5107" s="12" t="inlineStr">
        <is>
          <t>Modular / portable power</t>
        </is>
      </c>
      <c r="D5107" s="12" t="inlineStr">
        <is>
          <t>Home run JB-SC-2-AI08 to the control / marshalling room</t>
        </is>
      </c>
      <c r="E5107" s="12" t="inlineStr"/>
      <c r="F5107" s="12" t="inlineStr">
        <is>
          <t>SC-2 PCM + 15 kV GCB</t>
        </is>
      </c>
      <c r="G5107" s="12" t="inlineStr">
        <is>
          <t>JB-SC-2-AI08</t>
        </is>
      </c>
      <c r="H5107" s="12" t="inlineStr">
        <is>
          <t>SC-2: aeroderivative simple-cycle unit (50 MW class)</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Duct bank</t>
        </is>
      </c>
      <c r="T5107" s="15" t="n">
        <v>35</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I-I-0494</t>
        </is>
      </c>
      <c r="B5108" s="12" t="inlineStr">
        <is>
          <t>I</t>
        </is>
      </c>
      <c r="C5108" s="12" t="inlineStr">
        <is>
          <t>Modular / portable power</t>
        </is>
      </c>
      <c r="D5108" s="12" t="inlineStr">
        <is>
          <t>Discrete device to JB JB-SC-2-DI01: 20 x 1 pr (field cables)</t>
        </is>
      </c>
      <c r="E5108" s="12" t="inlineStr">
        <is>
          <t>SC-2</t>
        </is>
      </c>
      <c r="F5108" s="12" t="inlineStr">
        <is>
          <t>SC-2: aeroderivative simple-cycle unit (50 MW class)</t>
        </is>
      </c>
      <c r="G5108" s="12" t="inlineStr">
        <is>
          <t>JB-SC-2-DI01</t>
        </is>
      </c>
      <c r="H5108" s="12" t="inlineStr">
        <is>
          <t>SC-2: aeroderivative simple-cycle unit (50 MW class)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5" t="n">
        <v>99</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I-I-0495</t>
        </is>
      </c>
      <c r="B5109" s="12" t="inlineStr">
        <is>
          <t>I</t>
        </is>
      </c>
      <c r="C5109" s="12" t="inlineStr">
        <is>
          <t>Modular / portable power</t>
        </is>
      </c>
      <c r="D5109" s="12" t="inlineStr">
        <is>
          <t>Home run JB-SC-2-DI01 to the control / marshalling room</t>
        </is>
      </c>
      <c r="E5109" s="12" t="inlineStr"/>
      <c r="F5109" s="12" t="inlineStr">
        <is>
          <t>SC-2 PCM + 15 kV GCB</t>
        </is>
      </c>
      <c r="G5109" s="12" t="inlineStr">
        <is>
          <t>JB-SC-2-DI01</t>
        </is>
      </c>
      <c r="H5109" s="12" t="inlineStr">
        <is>
          <t>SC-2: aeroderivative simple-cycle unit (50 MW class)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35</v>
      </c>
      <c r="U5109" s="15" t="n">
        <v>32</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I-I-0496</t>
        </is>
      </c>
      <c r="B5110" s="12" t="inlineStr">
        <is>
          <t>I</t>
        </is>
      </c>
      <c r="C5110" s="12" t="inlineStr">
        <is>
          <t>Modular / portable power</t>
        </is>
      </c>
      <c r="D5110" s="12" t="inlineStr">
        <is>
          <t>Discrete device to JB JB-SC-2-DI02: 20 x 1 pr (field cables)</t>
        </is>
      </c>
      <c r="E5110" s="12" t="inlineStr">
        <is>
          <t>SC-2</t>
        </is>
      </c>
      <c r="F5110" s="12" t="inlineStr">
        <is>
          <t>SC-2: aeroderivative simple-cycle unit (50 MW class)</t>
        </is>
      </c>
      <c r="G5110" s="12" t="inlineStr">
        <is>
          <t>JB-SC-2-DI02</t>
        </is>
      </c>
      <c r="H5110" s="12" t="inlineStr">
        <is>
          <t>SC-2: aeroderivative simple-cycle unit (50 MW class)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5" t="n">
        <v>99</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I-I-0497</t>
        </is>
      </c>
      <c r="B5111" s="12" t="inlineStr">
        <is>
          <t>I</t>
        </is>
      </c>
      <c r="C5111" s="12" t="inlineStr">
        <is>
          <t>Modular / portable power</t>
        </is>
      </c>
      <c r="D5111" s="12" t="inlineStr">
        <is>
          <t>Home run JB-SC-2-DI02 to the control / marshalling room</t>
        </is>
      </c>
      <c r="E5111" s="12" t="inlineStr"/>
      <c r="F5111" s="12" t="inlineStr">
        <is>
          <t>SC-2 PCM + 15 kV GCB</t>
        </is>
      </c>
      <c r="G5111" s="12" t="inlineStr">
        <is>
          <t>JB-SC-2-DI02</t>
        </is>
      </c>
      <c r="H5111" s="12" t="inlineStr">
        <is>
          <t>SC-2: aeroderivative simple-cycle unit (50 MW class)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35</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I-I-0498</t>
        </is>
      </c>
      <c r="B5112" s="12" t="inlineStr">
        <is>
          <t>I</t>
        </is>
      </c>
      <c r="C5112" s="12" t="inlineStr">
        <is>
          <t>Modular / portable power</t>
        </is>
      </c>
      <c r="D5112" s="12" t="inlineStr">
        <is>
          <t>Discrete device to JB JB-SC-2-DI03: 20 x 1 pr (field cables)</t>
        </is>
      </c>
      <c r="E5112" s="12" t="inlineStr">
        <is>
          <t>SC-2</t>
        </is>
      </c>
      <c r="F5112" s="12" t="inlineStr">
        <is>
          <t>SC-2: aeroderivative simple-cycle unit (50 MW class)</t>
        </is>
      </c>
      <c r="G5112" s="12" t="inlineStr">
        <is>
          <t>JB-SC-2-DI03</t>
        </is>
      </c>
      <c r="H5112" s="12" t="inlineStr">
        <is>
          <t>SC-2: aeroderivative simple-cycle unit (50 MW class)</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5" t="n">
        <v>99</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I-I-0499</t>
        </is>
      </c>
      <c r="B5113" s="12" t="inlineStr">
        <is>
          <t>I</t>
        </is>
      </c>
      <c r="C5113" s="12" t="inlineStr">
        <is>
          <t>Modular / portable power</t>
        </is>
      </c>
      <c r="D5113" s="12" t="inlineStr">
        <is>
          <t>Home run JB-SC-2-DI03 to the control / marshalling room</t>
        </is>
      </c>
      <c r="E5113" s="12" t="inlineStr"/>
      <c r="F5113" s="12" t="inlineStr">
        <is>
          <t>SC-2 PCM + 15 kV GCB</t>
        </is>
      </c>
      <c r="G5113" s="12" t="inlineStr">
        <is>
          <t>JB-SC-2-DI03</t>
        </is>
      </c>
      <c r="H5113" s="12" t="inlineStr">
        <is>
          <t>SC-2: aeroderivative simple-cycle unit (50 MW class)</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35</v>
      </c>
      <c r="U5113" s="15" t="n">
        <v>32</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I-I-0500</t>
        </is>
      </c>
      <c r="B5114" s="12" t="inlineStr">
        <is>
          <t>I</t>
        </is>
      </c>
      <c r="C5114" s="12" t="inlineStr">
        <is>
          <t>Modular / portable power</t>
        </is>
      </c>
      <c r="D5114" s="12" t="inlineStr">
        <is>
          <t>Discrete device to JB JB-SC-2-DI04: 20 x 1 pr (field cables)</t>
        </is>
      </c>
      <c r="E5114" s="12" t="inlineStr">
        <is>
          <t>SC-2</t>
        </is>
      </c>
      <c r="F5114" s="12" t="inlineStr">
        <is>
          <t>SC-2: aeroderivative simple-cycle unit (50 MW class)</t>
        </is>
      </c>
      <c r="G5114" s="12" t="inlineStr">
        <is>
          <t>JB-SC-2-DI04</t>
        </is>
      </c>
      <c r="H5114" s="12" t="inlineStr">
        <is>
          <t>SC-2: aeroderivative simple-cycle unit (50 MW class)</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20</v>
      </c>
      <c r="O5114" s="12" t="n">
        <v>1</v>
      </c>
      <c r="P5114" s="12" t="n"/>
      <c r="Q5114" s="12" t="n"/>
      <c r="R5114" s="12" t="n"/>
      <c r="S5114" s="12" t="inlineStr">
        <is>
          <t>Tray / conduit</t>
        </is>
      </c>
      <c r="T5114" s="15" t="n">
        <v>99</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I-I-0501</t>
        </is>
      </c>
      <c r="B5115" s="12" t="inlineStr">
        <is>
          <t>I</t>
        </is>
      </c>
      <c r="C5115" s="12" t="inlineStr">
        <is>
          <t>Modular / portable power</t>
        </is>
      </c>
      <c r="D5115" s="12" t="inlineStr">
        <is>
          <t>Home run JB-SC-2-DI04 to the control / marshalling room</t>
        </is>
      </c>
      <c r="E5115" s="12" t="inlineStr"/>
      <c r="F5115" s="12" t="inlineStr">
        <is>
          <t>SC-2 PCM + 15 kV GCB</t>
        </is>
      </c>
      <c r="G5115" s="12" t="inlineStr">
        <is>
          <t>JB-SC-2-DI04</t>
        </is>
      </c>
      <c r="H5115" s="12" t="inlineStr">
        <is>
          <t>SC-2: aeroderivative simple-cycle unit (50 MW class)</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35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I-I-0502</t>
        </is>
      </c>
      <c r="B5116" s="12" t="inlineStr">
        <is>
          <t>I</t>
        </is>
      </c>
      <c r="C5116" s="12" t="inlineStr">
        <is>
          <t>Modular / portable power</t>
        </is>
      </c>
      <c r="D5116" s="12" t="inlineStr">
        <is>
          <t>Discrete device to JB JB-SC-2-DI05: 20 x 1 pr (field cables)</t>
        </is>
      </c>
      <c r="E5116" s="12" t="inlineStr">
        <is>
          <t>SC-2</t>
        </is>
      </c>
      <c r="F5116" s="12" t="inlineStr">
        <is>
          <t>SC-2: aeroderivative simple-cycle unit (50 MW class)</t>
        </is>
      </c>
      <c r="G5116" s="12" t="inlineStr">
        <is>
          <t>JB-SC-2-DI05</t>
        </is>
      </c>
      <c r="H5116" s="12" t="inlineStr">
        <is>
          <t>SC-2: aeroderivative simple-cycle unit (50 MW class)</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20</v>
      </c>
      <c r="O5116" s="12" t="n">
        <v>1</v>
      </c>
      <c r="P5116" s="12" t="n"/>
      <c r="Q5116" s="12" t="n"/>
      <c r="R5116" s="12" t="n"/>
      <c r="S5116" s="12" t="inlineStr">
        <is>
          <t>Tray / conduit</t>
        </is>
      </c>
      <c r="T5116" s="15" t="n">
        <v>99</v>
      </c>
      <c r="U5116" s="15" t="n">
        <v>10</v>
      </c>
      <c r="V5116" s="15">
        <f>ROUNDUP((T5116+U5116+2*'Read Me'!$B$13)*(1+'Read Me'!$B$12),-1)</f>
        <v/>
      </c>
      <c r="W5116" s="15">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I-I-0503</t>
        </is>
      </c>
      <c r="B5117" s="12" t="inlineStr">
        <is>
          <t>I</t>
        </is>
      </c>
      <c r="C5117" s="12" t="inlineStr">
        <is>
          <t>Modular / portable power</t>
        </is>
      </c>
      <c r="D5117" s="12" t="inlineStr">
        <is>
          <t>Home run JB-SC-2-DI05 to the control / marshalling room</t>
        </is>
      </c>
      <c r="E5117" s="12" t="inlineStr"/>
      <c r="F5117" s="12" t="inlineStr">
        <is>
          <t>SC-2 PCM + 15 kV GCB</t>
        </is>
      </c>
      <c r="G5117" s="12" t="inlineStr">
        <is>
          <t>JB-SC-2-DI05</t>
        </is>
      </c>
      <c r="H5117" s="12" t="inlineStr">
        <is>
          <t>SC-2: aeroderivative simple-cycle unit (50 MW class)</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Duct bank</t>
        </is>
      </c>
      <c r="T5117" s="15" t="n">
        <v>35</v>
      </c>
      <c r="U5117" s="15" t="n">
        <v>32</v>
      </c>
      <c r="V5117" s="15">
        <f>ROUNDUP((T5117+U5117+2*'Read Me'!$B$13)*(1+'Read Me'!$B$12),-1)</f>
        <v/>
      </c>
      <c r="W5117" s="15">
        <f>V5117*N5117*O5117</f>
        <v/>
      </c>
      <c r="X5117" s="12">
        <f>IF(LEFT(I5117,2)="MV",2*N5117*IF(L5117="1/C",O5117,1),0)</f>
        <v/>
      </c>
      <c r="Y5117" s="12">
        <f>IF(OR(LEFT(K5117,4)="LVAX",LEFT(K5117,6)="MV15AX",LEFT(K5117,4)="CTAX",LEFT(K5117,2)="W|"),2*N5117*O5117,0)</f>
        <v/>
      </c>
      <c r="Z5117" s="12" t="inlineStr"/>
      <c r="AA5117" s="12">
        <f>N5117*O5117</f>
        <v/>
      </c>
    </row>
    <row r="5118">
      <c r="A5118" s="12" t="inlineStr">
        <is>
          <t>I-I-0504</t>
        </is>
      </c>
      <c r="B5118" s="12" t="inlineStr">
        <is>
          <t>I</t>
        </is>
      </c>
      <c r="C5118" s="12" t="inlineStr">
        <is>
          <t>Modular / portable power</t>
        </is>
      </c>
      <c r="D5118" s="12" t="inlineStr">
        <is>
          <t>Thermocouple to TC JB JB-SC-2-TC01: 20 x 1 pr (field cables)</t>
        </is>
      </c>
      <c r="E5118" s="12" t="inlineStr">
        <is>
          <t>SC-2</t>
        </is>
      </c>
      <c r="F5118" s="12" t="inlineStr">
        <is>
          <t>SC-2: aeroderivative simple-cycle unit (50 MW class)</t>
        </is>
      </c>
      <c r="G5118" s="12" t="inlineStr">
        <is>
          <t>JB-SC-2-TC01</t>
        </is>
      </c>
      <c r="H5118" s="12" t="inlineStr">
        <is>
          <t>SC-2: aeroderivative simple-cycle unit (50 MW class)</t>
        </is>
      </c>
      <c r="I5118" s="12" t="inlineStr">
        <is>
          <t>Instrumentation</t>
        </is>
      </c>
      <c r="J5118" s="12" t="inlineStr">
        <is>
          <t>Thermocouple extension KX, #16 shielded pairs, PLTC</t>
        </is>
      </c>
      <c r="K5118" s="12" t="inlineStr">
        <is>
          <t>TCX|1 pr|16</t>
        </is>
      </c>
      <c r="L5118" s="12" t="inlineStr">
        <is>
          <t>1 pr</t>
        </is>
      </c>
      <c r="M5118" s="12" t="inlineStr">
        <is>
          <t>16</t>
        </is>
      </c>
      <c r="N5118" s="12" t="n">
        <v>20</v>
      </c>
      <c r="O5118" s="12" t="n">
        <v>1</v>
      </c>
      <c r="P5118" s="12" t="n"/>
      <c r="Q5118" s="12" t="n"/>
      <c r="R5118" s="12" t="n"/>
      <c r="S5118" s="12" t="inlineStr">
        <is>
          <t>Tray / conduit</t>
        </is>
      </c>
      <c r="T5118" s="15" t="n">
        <v>99</v>
      </c>
      <c r="U5118" s="15" t="n">
        <v>10</v>
      </c>
      <c r="V5118" s="15">
        <f>ROUNDUP((T5118+U5118+2*'Read Me'!$B$13)*(1+'Read Me'!$B$12),-1)</f>
        <v/>
      </c>
      <c r="W5118" s="15">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I-I-0505</t>
        </is>
      </c>
      <c r="B5119" s="12" t="inlineStr">
        <is>
          <t>I</t>
        </is>
      </c>
      <c r="C5119" s="12" t="inlineStr">
        <is>
          <t>Modular / portable power</t>
        </is>
      </c>
      <c r="D5119" s="12" t="inlineStr">
        <is>
          <t>Home run JB-SC-2-TC01 to the control / marshalling room</t>
        </is>
      </c>
      <c r="E5119" s="12" t="inlineStr"/>
      <c r="F5119" s="12" t="inlineStr">
        <is>
          <t>SC-2 PCM + 15 kV GCB</t>
        </is>
      </c>
      <c r="G5119" s="12" t="inlineStr">
        <is>
          <t>JB-SC-2-TC01</t>
        </is>
      </c>
      <c r="H5119" s="12" t="inlineStr">
        <is>
          <t>SC-2: aeroderivative simple-cycle unit (50 MW class)</t>
        </is>
      </c>
      <c r="I5119" s="12" t="inlineStr">
        <is>
          <t>Instrumentation</t>
        </is>
      </c>
      <c r="J5119" s="12" t="inlineStr">
        <is>
          <t>Thermocouple extension KX, #16 shielded pairs, PLTC</t>
        </is>
      </c>
      <c r="K5119" s="12" t="inlineStr">
        <is>
          <t>TCX|24 pr|16</t>
        </is>
      </c>
      <c r="L5119" s="12" t="inlineStr">
        <is>
          <t>24 pr</t>
        </is>
      </c>
      <c r="M5119" s="12" t="inlineStr">
        <is>
          <t>16</t>
        </is>
      </c>
      <c r="N5119" s="12" t="n">
        <v>1</v>
      </c>
      <c r="O5119" s="12" t="n">
        <v>1</v>
      </c>
      <c r="P5119" s="12" t="n"/>
      <c r="Q5119" s="12" t="n"/>
      <c r="R5119" s="12" t="n"/>
      <c r="S5119" s="12" t="inlineStr">
        <is>
          <t>Duct bank</t>
        </is>
      </c>
      <c r="T5119" s="15" t="n">
        <v>35</v>
      </c>
      <c r="U5119" s="15" t="n">
        <v>32</v>
      </c>
      <c r="V5119" s="15">
        <f>ROUNDUP((T5119+U5119+2*'Read Me'!$B$13)*(1+'Read Me'!$B$12),-1)</f>
        <v/>
      </c>
      <c r="W5119" s="15">
        <f>V5119*N5119*O5119</f>
        <v/>
      </c>
      <c r="X5119" s="12">
        <f>IF(LEFT(I5119,2)="MV",2*N5119*IF(L5119="1/C",O5119,1),0)</f>
        <v/>
      </c>
      <c r="Y5119" s="12">
        <f>IF(OR(LEFT(K5119,4)="LVAX",LEFT(K5119,6)="MV15AX",LEFT(K5119,4)="CTAX",LEFT(K5119,2)="W|"),2*N5119*O5119,0)</f>
        <v/>
      </c>
      <c r="Z5119" s="12" t="inlineStr"/>
      <c r="AA5119" s="12">
        <f>N5119*O5119</f>
        <v/>
      </c>
    </row>
    <row r="5120">
      <c r="A5120" s="12" t="inlineStr">
        <is>
          <t>I-I-0506</t>
        </is>
      </c>
      <c r="B5120" s="12" t="inlineStr">
        <is>
          <t>I</t>
        </is>
      </c>
      <c r="C5120" s="12" t="inlineStr">
        <is>
          <t>Modular / portable power</t>
        </is>
      </c>
      <c r="D5120" s="12" t="inlineStr">
        <is>
          <t>Thermocouple to TC JB JB-SC-2-TC02: 20 x 1 pr (field cables)</t>
        </is>
      </c>
      <c r="E5120" s="12" t="inlineStr">
        <is>
          <t>SC-2</t>
        </is>
      </c>
      <c r="F5120" s="12" t="inlineStr">
        <is>
          <t>SC-2: aeroderivative simple-cycle unit (50 MW class)</t>
        </is>
      </c>
      <c r="G5120" s="12" t="inlineStr">
        <is>
          <t>JB-SC-2-TC02</t>
        </is>
      </c>
      <c r="H5120" s="12" t="inlineStr">
        <is>
          <t>SC-2: aeroderivative simple-cycle unit (50 MW class)</t>
        </is>
      </c>
      <c r="I5120" s="12" t="inlineStr">
        <is>
          <t>Instrumentation</t>
        </is>
      </c>
      <c r="J5120" s="12" t="inlineStr">
        <is>
          <t>Thermocouple extension KX, #16 shielded pairs, PLTC</t>
        </is>
      </c>
      <c r="K5120" s="12" t="inlineStr">
        <is>
          <t>TCX|1 pr|16</t>
        </is>
      </c>
      <c r="L5120" s="12" t="inlineStr">
        <is>
          <t>1 pr</t>
        </is>
      </c>
      <c r="M5120" s="12" t="inlineStr">
        <is>
          <t>16</t>
        </is>
      </c>
      <c r="N5120" s="12" t="n">
        <v>20</v>
      </c>
      <c r="O5120" s="12" t="n">
        <v>1</v>
      </c>
      <c r="P5120" s="12" t="n"/>
      <c r="Q5120" s="12" t="n"/>
      <c r="R5120" s="12" t="n"/>
      <c r="S5120" s="12" t="inlineStr">
        <is>
          <t>Tray / conduit</t>
        </is>
      </c>
      <c r="T5120" s="15" t="n">
        <v>99</v>
      </c>
      <c r="U5120" s="15" t="n">
        <v>10</v>
      </c>
      <c r="V5120" s="15">
        <f>ROUNDUP((T5120+U5120+2*'Read Me'!$B$13)*(1+'Read Me'!$B$12),-1)</f>
        <v/>
      </c>
      <c r="W5120" s="15">
        <f>V5120*N5120*O5120</f>
        <v/>
      </c>
      <c r="X5120" s="12">
        <f>IF(LEFT(I5120,2)="MV",2*N5120*IF(L5120="1/C",O5120,1),0)</f>
        <v/>
      </c>
      <c r="Y5120" s="12">
        <f>IF(OR(LEFT(K5120,4)="LVAX",LEFT(K5120,6)="MV15AX",LEFT(K5120,4)="CTAX",LEFT(K5120,2)="W|"),2*N5120*O5120,0)</f>
        <v/>
      </c>
      <c r="Z5120" s="12" t="inlineStr">
        <is>
          <t>device-to-JB field wiring, one cable per device</t>
        </is>
      </c>
      <c r="AA5120" s="12">
        <f>N5120*O5120</f>
        <v/>
      </c>
    </row>
    <row r="5121">
      <c r="A5121" s="12" t="inlineStr">
        <is>
          <t>I-I-0507</t>
        </is>
      </c>
      <c r="B5121" s="12" t="inlineStr">
        <is>
          <t>I</t>
        </is>
      </c>
      <c r="C5121" s="12" t="inlineStr">
        <is>
          <t>Modular / portable power</t>
        </is>
      </c>
      <c r="D5121" s="12" t="inlineStr">
        <is>
          <t>Home run JB-SC-2-TC02 to the control / marshalling room</t>
        </is>
      </c>
      <c r="E5121" s="12" t="inlineStr"/>
      <c r="F5121" s="12" t="inlineStr">
        <is>
          <t>SC-2 PCM + 15 kV GCB</t>
        </is>
      </c>
      <c r="G5121" s="12" t="inlineStr">
        <is>
          <t>JB-SC-2-TC02</t>
        </is>
      </c>
      <c r="H5121" s="12" t="inlineStr">
        <is>
          <t>SC-2: aeroderivative simple-cycle unit (50 MW class)</t>
        </is>
      </c>
      <c r="I5121" s="12" t="inlineStr">
        <is>
          <t>Instrumentation</t>
        </is>
      </c>
      <c r="J5121" s="12" t="inlineStr">
        <is>
          <t>Thermocouple extension KX, #16 shielded pairs, PLTC</t>
        </is>
      </c>
      <c r="K5121" s="12" t="inlineStr">
        <is>
          <t>TCX|24 pr|16</t>
        </is>
      </c>
      <c r="L5121" s="12" t="inlineStr">
        <is>
          <t>24 pr</t>
        </is>
      </c>
      <c r="M5121" s="12" t="inlineStr">
        <is>
          <t>16</t>
        </is>
      </c>
      <c r="N5121" s="12" t="n">
        <v>1</v>
      </c>
      <c r="O5121" s="12" t="n">
        <v>1</v>
      </c>
      <c r="P5121" s="12" t="n"/>
      <c r="Q5121" s="12" t="n"/>
      <c r="R5121" s="12" t="n"/>
      <c r="S5121" s="12" t="inlineStr">
        <is>
          <t>Duct bank</t>
        </is>
      </c>
      <c r="T5121" s="15" t="n">
        <v>35</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I-I-0508</t>
        </is>
      </c>
      <c r="B5122" s="12" t="inlineStr">
        <is>
          <t>I</t>
        </is>
      </c>
      <c r="C5122" s="12" t="inlineStr">
        <is>
          <t>Modular / portable power</t>
        </is>
      </c>
      <c r="D5122" s="12" t="inlineStr">
        <is>
          <t>SC-GSU-1 monitoring: temperatures, gas relay, oil level</t>
        </is>
      </c>
      <c r="E5122" s="12" t="inlineStr"/>
      <c r="F5122" s="12" t="inlineStr">
        <is>
          <t>SC-1 PCM + 15 kV GCB</t>
        </is>
      </c>
      <c r="G5122" s="12" t="inlineStr">
        <is>
          <t>SC-GSU-1</t>
        </is>
      </c>
      <c r="H5122" s="12" t="inlineStr">
        <is>
          <t>SC-GSU-1: 13.8 / 34.5 kV unit step-up, ~60 MVA (SC-1)</t>
        </is>
      </c>
      <c r="I5122" s="12" t="inlineStr">
        <is>
          <t>Instrumentation</t>
        </is>
      </c>
      <c r="J5122" s="12" t="inlineStr">
        <is>
          <t>Instrumentation ITC / PLTC, IS, #18 shielded pairs, blue jacket</t>
        </is>
      </c>
      <c r="K5122" s="12" t="inlineStr">
        <is>
          <t>ITC|4 pr|18</t>
        </is>
      </c>
      <c r="L5122" s="12" t="inlineStr">
        <is>
          <t>4 pr</t>
        </is>
      </c>
      <c r="M5122" s="12" t="inlineStr">
        <is>
          <t>18</t>
        </is>
      </c>
      <c r="N5122" s="12" t="n">
        <v>1</v>
      </c>
      <c r="O5122" s="12" t="n">
        <v>1</v>
      </c>
      <c r="P5122" s="12" t="n"/>
      <c r="Q5122" s="12" t="n"/>
      <c r="R5122" s="12" t="n"/>
      <c r="S5122" s="12" t="inlineStr">
        <is>
          <t>Duct bank</t>
        </is>
      </c>
      <c r="T5122" s="15" t="n">
        <v>55</v>
      </c>
      <c r="U5122" s="15" t="n">
        <v>32</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I-I-0509</t>
        </is>
      </c>
      <c r="B5123" s="12" t="inlineStr">
        <is>
          <t>I</t>
        </is>
      </c>
      <c r="C5123" s="12" t="inlineStr">
        <is>
          <t>Modular / portable power</t>
        </is>
      </c>
      <c r="D5123" s="12" t="inlineStr">
        <is>
          <t>SC-GSU-2 monitoring: temperatures, gas relay, oil level</t>
        </is>
      </c>
      <c r="E5123" s="12" t="inlineStr"/>
      <c r="F5123" s="12" t="inlineStr">
        <is>
          <t>SC-2 PCM + 15 kV GCB</t>
        </is>
      </c>
      <c r="G5123" s="12" t="inlineStr">
        <is>
          <t>SC-GSU-2</t>
        </is>
      </c>
      <c r="H5123" s="12" t="inlineStr">
        <is>
          <t>SC-GSU-2: 13.8 / 34.5 kV unit step-up, ~60 MVA (SC-2)</t>
        </is>
      </c>
      <c r="I5123" s="12" t="inlineStr">
        <is>
          <t>Instrumentation</t>
        </is>
      </c>
      <c r="J5123" s="12" t="inlineStr">
        <is>
          <t>Instrumentation ITC / PLTC, IS, #18 shielded pairs, blue jacket</t>
        </is>
      </c>
      <c r="K5123" s="12" t="inlineStr">
        <is>
          <t>ITC|4 pr|18</t>
        </is>
      </c>
      <c r="L5123" s="12" t="inlineStr">
        <is>
          <t>4 pr</t>
        </is>
      </c>
      <c r="M5123" s="12" t="inlineStr">
        <is>
          <t>18</t>
        </is>
      </c>
      <c r="N5123" s="12" t="n">
        <v>1</v>
      </c>
      <c r="O5123" s="12" t="n">
        <v>1</v>
      </c>
      <c r="P5123" s="12" t="n"/>
      <c r="Q5123" s="12" t="n"/>
      <c r="R5123" s="12" t="n"/>
      <c r="S5123" s="12" t="inlineStr">
        <is>
          <t>Duct bank</t>
        </is>
      </c>
      <c r="T5123" s="15" t="n">
        <v>48</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I-I-0510</t>
        </is>
      </c>
      <c r="B5124" s="12" t="inlineStr">
        <is>
          <t>I</t>
        </is>
      </c>
      <c r="C5124" s="12" t="inlineStr">
        <is>
          <t>Modular / portable power</t>
        </is>
      </c>
      <c r="D5124" s="12" t="inlineStr">
        <is>
          <t>Analog instrument to JB JB-T-MOD 230 kV take--AI01: 8 x 1 pr (field cables)</t>
        </is>
      </c>
      <c r="E5124" s="12" t="inlineStr"/>
      <c r="F5124" s="12" t="inlineStr">
        <is>
          <t>T-MOD 230 kV take-off gantry with arresters</t>
        </is>
      </c>
      <c r="G5124" s="12" t="inlineStr">
        <is>
          <t>JB-T-MOD 230 kV take--AI01</t>
        </is>
      </c>
      <c r="H5124" s="12" t="inlineStr">
        <is>
          <t>T-MOD 230 kV take-off gantry with arresters</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8</v>
      </c>
      <c r="O5124" s="12" t="n">
        <v>1</v>
      </c>
      <c r="P5124" s="12" t="n"/>
      <c r="Q5124" s="12" t="n"/>
      <c r="R5124" s="12" t="n"/>
      <c r="S5124" s="12" t="inlineStr">
        <is>
          <t>Tray / conduit</t>
        </is>
      </c>
      <c r="T5124" s="15" t="n">
        <v>88</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I-I-0511</t>
        </is>
      </c>
      <c r="B5125" s="12" t="inlineStr">
        <is>
          <t>I</t>
        </is>
      </c>
      <c r="C5125" s="12" t="inlineStr">
        <is>
          <t>Modular / portable power</t>
        </is>
      </c>
      <c r="D5125" s="12" t="inlineStr">
        <is>
          <t>Home run JB-T-MOD 230 kV take--AI01 to the control / marshalling room</t>
        </is>
      </c>
      <c r="E5125" s="12" t="inlineStr">
        <is>
          <t>PAD-EH</t>
        </is>
      </c>
      <c r="F5125" s="12" t="inlineStr">
        <is>
          <t>PAD-EH 13.8 kV switchgear e-house</t>
        </is>
      </c>
      <c r="G5125" s="12" t="inlineStr">
        <is>
          <t>JB-T-MOD 230 kV take--AI01</t>
        </is>
      </c>
      <c r="H5125" s="12" t="inlineStr">
        <is>
          <t>T-MOD 230 kV take-off gantry with arresters</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513</v>
      </c>
      <c r="U5125" s="15" t="n">
        <v>47</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I-I-0512</t>
        </is>
      </c>
      <c r="B5126" s="12" t="inlineStr">
        <is>
          <t>I</t>
        </is>
      </c>
      <c r="C5126" s="12" t="inlineStr">
        <is>
          <t>Modular / portable power</t>
        </is>
      </c>
      <c r="D5126" s="12" t="inlineStr">
        <is>
          <t>Discrete device to JB JB-T-MOD 230 kV take--DI01: 16 x 1 pr (field cables)</t>
        </is>
      </c>
      <c r="E5126" s="12" t="inlineStr"/>
      <c r="F5126" s="12" t="inlineStr">
        <is>
          <t>T-MOD 230 kV take-off gantry with arresters</t>
        </is>
      </c>
      <c r="G5126" s="12" t="inlineStr">
        <is>
          <t>JB-T-MOD 230 kV take--DI01</t>
        </is>
      </c>
      <c r="H5126" s="12" t="inlineStr">
        <is>
          <t>T-MOD 230 kV take-off gantry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16</v>
      </c>
      <c r="O5126" s="12" t="n">
        <v>1</v>
      </c>
      <c r="P5126" s="12" t="n"/>
      <c r="Q5126" s="12" t="n"/>
      <c r="R5126" s="12" t="n"/>
      <c r="S5126" s="12" t="inlineStr">
        <is>
          <t>Tray / conduit</t>
        </is>
      </c>
      <c r="T5126" s="15" t="n">
        <v>88</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I-I-0513</t>
        </is>
      </c>
      <c r="B5127" s="12" t="inlineStr">
        <is>
          <t>I</t>
        </is>
      </c>
      <c r="C5127" s="12" t="inlineStr">
        <is>
          <t>Modular / portable power</t>
        </is>
      </c>
      <c r="D5127" s="12" t="inlineStr">
        <is>
          <t>Home run JB-T-MOD 230 kV take--DI01 to the control / marshalling room</t>
        </is>
      </c>
      <c r="E5127" s="12" t="inlineStr">
        <is>
          <t>PAD-EH</t>
        </is>
      </c>
      <c r="F5127" s="12" t="inlineStr">
        <is>
          <t>PAD-EH 13.8 kV switchgear e-house</t>
        </is>
      </c>
      <c r="G5127" s="12" t="inlineStr">
        <is>
          <t>JB-T-MOD 230 kV take--DI01</t>
        </is>
      </c>
      <c r="H5127" s="12" t="inlineStr">
        <is>
          <t>T-MOD 230 kV take-off gantry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513</v>
      </c>
      <c r="U5127" s="15" t="n">
        <v>47</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I-I-0514</t>
        </is>
      </c>
      <c r="B5128" s="12" t="inlineStr">
        <is>
          <t>I</t>
        </is>
      </c>
      <c r="C5128" s="12" t="inlineStr">
        <is>
          <t>Modular / portable power</t>
        </is>
      </c>
      <c r="D5128" s="12" t="inlineStr">
        <is>
          <t>Analog instrument to JB JB-T-MOD-1 / T-MOD-2 -AI01: 8 x 1 pr (field cables)</t>
        </is>
      </c>
      <c r="E5128" s="12" t="inlineStr"/>
      <c r="F5128" s="12" t="inlineStr">
        <is>
          <t>T-MOD-1 / T-MOD-2 firewall</t>
        </is>
      </c>
      <c r="G5128" s="12" t="inlineStr">
        <is>
          <t>JB-T-MOD-1 / T-MOD-2 -AI01</t>
        </is>
      </c>
      <c r="H5128" s="12" t="inlineStr">
        <is>
          <t>T-MOD-1 / T-MOD-2 firewall</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8</v>
      </c>
      <c r="O5128" s="12" t="n">
        <v>1</v>
      </c>
      <c r="P5128" s="12" t="n"/>
      <c r="Q5128" s="12" t="n"/>
      <c r="R5128" s="12" t="n"/>
      <c r="S5128" s="12" t="inlineStr">
        <is>
          <t>Tray / conduit</t>
        </is>
      </c>
      <c r="T5128" s="15" t="n">
        <v>64</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I-I-0515</t>
        </is>
      </c>
      <c r="B5129" s="12" t="inlineStr">
        <is>
          <t>I</t>
        </is>
      </c>
      <c r="C5129" s="12" t="inlineStr">
        <is>
          <t>Modular / portable power</t>
        </is>
      </c>
      <c r="D5129" s="12" t="inlineStr">
        <is>
          <t>Home run JB-T-MOD-1 / T-MOD-2 -AI01 to the control / marshalling room</t>
        </is>
      </c>
      <c r="E5129" s="12" t="inlineStr"/>
      <c r="F5129" s="12" t="inlineStr">
        <is>
          <t>PCM: power control module</t>
        </is>
      </c>
      <c r="G5129" s="12" t="inlineStr">
        <is>
          <t>JB-T-MOD-1 / T-MOD-2 -AI01</t>
        </is>
      </c>
      <c r="H5129" s="12" t="inlineStr">
        <is>
          <t>T-MOD-1 / T-MOD-2 firewall</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447</v>
      </c>
      <c r="U5129" s="15" t="n">
        <v>80</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I-I-0516</t>
        </is>
      </c>
      <c r="B5130" s="12" t="inlineStr">
        <is>
          <t>I</t>
        </is>
      </c>
      <c r="C5130" s="12" t="inlineStr">
        <is>
          <t>Modular / portable power</t>
        </is>
      </c>
      <c r="D5130" s="12" t="inlineStr">
        <is>
          <t>Discrete device to JB JB-T-MOD-1 / T-MOD-2 -DI01: 16 x 1 pr (field cables)</t>
        </is>
      </c>
      <c r="E5130" s="12" t="inlineStr"/>
      <c r="F5130" s="12" t="inlineStr">
        <is>
          <t>T-MOD-1 / T-MOD-2 firewall</t>
        </is>
      </c>
      <c r="G5130" s="12" t="inlineStr">
        <is>
          <t>JB-T-MOD-1 / T-MOD-2 -DI01</t>
        </is>
      </c>
      <c r="H5130" s="12" t="inlineStr">
        <is>
          <t>T-MOD-1 / T-MOD-2 firewall</t>
        </is>
      </c>
      <c r="I5130" s="12" t="inlineStr">
        <is>
          <t>Instrumentation</t>
        </is>
      </c>
      <c r="J5130" s="12" t="inlineStr">
        <is>
          <t>Instrumentation PLTC / TC-ER 300 V, #18 twisted shielded pairs, overall shield</t>
        </is>
      </c>
      <c r="K5130" s="12" t="inlineStr">
        <is>
          <t>PLTC|1 pr|16</t>
        </is>
      </c>
      <c r="L5130" s="12" t="inlineStr">
        <is>
          <t>1 pr</t>
        </is>
      </c>
      <c r="M5130" s="12" t="inlineStr">
        <is>
          <t>16</t>
        </is>
      </c>
      <c r="N5130" s="12" t="n">
        <v>16</v>
      </c>
      <c r="O5130" s="12" t="n">
        <v>1</v>
      </c>
      <c r="P5130" s="12" t="n"/>
      <c r="Q5130" s="12" t="n"/>
      <c r="R5130" s="12" t="n"/>
      <c r="S5130" s="12" t="inlineStr">
        <is>
          <t>Tray / conduit</t>
        </is>
      </c>
      <c r="T5130" s="15" t="n">
        <v>64</v>
      </c>
      <c r="U5130" s="15" t="n">
        <v>10</v>
      </c>
      <c r="V5130" s="15">
        <f>ROUNDUP((T5130+U5130+2*'Read Me'!$B$13)*(1+'Read Me'!$B$12),-1)</f>
        <v/>
      </c>
      <c r="W5130" s="15">
        <f>V5130*N5130*O5130</f>
        <v/>
      </c>
      <c r="X5130" s="12">
        <f>IF(LEFT(I5130,2)="MV",2*N5130*IF(L5130="1/C",O5130,1),0)</f>
        <v/>
      </c>
      <c r="Y5130" s="12">
        <f>IF(OR(LEFT(K5130,4)="LVAX",LEFT(K5130,6)="MV15AX",LEFT(K5130,4)="CTAX",LEFT(K5130,2)="W|"),2*N5130*O5130,0)</f>
        <v/>
      </c>
      <c r="Z5130" s="12" t="inlineStr">
        <is>
          <t>device-to-JB field wiring, one cable per device</t>
        </is>
      </c>
      <c r="AA5130" s="12">
        <f>N5130*O5130</f>
        <v/>
      </c>
    </row>
    <row r="5131">
      <c r="A5131" s="12" t="inlineStr">
        <is>
          <t>I-I-0517</t>
        </is>
      </c>
      <c r="B5131" s="12" t="inlineStr">
        <is>
          <t>I</t>
        </is>
      </c>
      <c r="C5131" s="12" t="inlineStr">
        <is>
          <t>Modular / portable power</t>
        </is>
      </c>
      <c r="D5131" s="12" t="inlineStr">
        <is>
          <t>Home run JB-T-MOD-1 / T-MOD-2 -DI01 to the control / marshalling room</t>
        </is>
      </c>
      <c r="E5131" s="12" t="inlineStr"/>
      <c r="F5131" s="12" t="inlineStr">
        <is>
          <t>PCM: power control module</t>
        </is>
      </c>
      <c r="G5131" s="12" t="inlineStr">
        <is>
          <t>JB-T-MOD-1 / T-MOD-2 -DI01</t>
        </is>
      </c>
      <c r="H5131" s="12" t="inlineStr">
        <is>
          <t>T-MOD-1 / T-MOD-2 firewall</t>
        </is>
      </c>
      <c r="I5131" s="12" t="inlineStr">
        <is>
          <t>Instrumentation</t>
        </is>
      </c>
      <c r="J5131" s="12" t="inlineStr">
        <is>
          <t>Instrumentation PLTC / TC-ER 300 V, #18 twisted shielded pairs, overall shield</t>
        </is>
      </c>
      <c r="K5131" s="12" t="inlineStr">
        <is>
          <t>PLTC|24 pr|18</t>
        </is>
      </c>
      <c r="L5131" s="12" t="inlineStr">
        <is>
          <t>24 pr</t>
        </is>
      </c>
      <c r="M5131" s="12" t="inlineStr">
        <is>
          <t>18</t>
        </is>
      </c>
      <c r="N5131" s="12" t="n">
        <v>1</v>
      </c>
      <c r="O5131" s="12" t="n">
        <v>1</v>
      </c>
      <c r="P5131" s="12" t="n"/>
      <c r="Q5131" s="12" t="n"/>
      <c r="R5131" s="12" t="n"/>
      <c r="S5131" s="12" t="inlineStr">
        <is>
          <t>Duct bank</t>
        </is>
      </c>
      <c r="T5131" s="15" t="n">
        <v>447</v>
      </c>
      <c r="U5131" s="15" t="n">
        <v>80</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I-I-0518</t>
        </is>
      </c>
      <c r="B5132" s="12" t="inlineStr">
        <is>
          <t>I</t>
        </is>
      </c>
      <c r="C5132" s="12" t="inlineStr">
        <is>
          <t>Modular / portable power</t>
        </is>
      </c>
      <c r="D5132" s="12" t="inlineStr">
        <is>
          <t>T-MOD-1 monitoring: temperatures, gas relay, oil level</t>
        </is>
      </c>
      <c r="E5132" s="12" t="inlineStr">
        <is>
          <t>MOD-EH</t>
        </is>
      </c>
      <c r="F5132" s="12" t="inlineStr">
        <is>
          <t>MOD-EH: 34.5 kV modular collector e-house (2 bus sections + 13.8 kV st</t>
        </is>
      </c>
      <c r="G5132" s="12" t="inlineStr">
        <is>
          <t>T-MOD-1</t>
        </is>
      </c>
      <c r="H5132" s="12" t="inlineStr">
        <is>
          <t>T-MOD-1: 230 / 34.5 kV</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Duct bank</t>
        </is>
      </c>
      <c r="T5132" s="15" t="n">
        <v>223</v>
      </c>
      <c r="U5132" s="15" t="n">
        <v>57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I-I-0519</t>
        </is>
      </c>
      <c r="B5133" s="12" t="inlineStr">
        <is>
          <t>I</t>
        </is>
      </c>
      <c r="C5133" s="12" t="inlineStr">
        <is>
          <t>Modular / portable power</t>
        </is>
      </c>
      <c r="D5133" s="12" t="inlineStr">
        <is>
          <t>Analog instrument to JB JB-T-MOD-1-AI01: 8 x 1 pr (field cables)</t>
        </is>
      </c>
      <c r="E5133" s="12" t="inlineStr">
        <is>
          <t>T-MOD-1</t>
        </is>
      </c>
      <c r="F5133" s="12" t="inlineStr">
        <is>
          <t>T-MOD-1: 230 / 34.5 kV</t>
        </is>
      </c>
      <c r="G5133" s="12" t="inlineStr">
        <is>
          <t>JB-T-MOD-1-AI01</t>
        </is>
      </c>
      <c r="H5133" s="12" t="inlineStr">
        <is>
          <t>T-MOD-1: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8</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I-I-0520</t>
        </is>
      </c>
      <c r="B5134" s="12" t="inlineStr">
        <is>
          <t>I</t>
        </is>
      </c>
      <c r="C5134" s="12" t="inlineStr">
        <is>
          <t>Modular / portable power</t>
        </is>
      </c>
      <c r="D5134" s="12" t="inlineStr">
        <is>
          <t>Home run JB-T-MOD-1-AI01 to the control / marshalling room</t>
        </is>
      </c>
      <c r="E5134" s="12" t="inlineStr"/>
      <c r="F5134" s="12" t="inlineStr">
        <is>
          <t>PCM: power control module</t>
        </is>
      </c>
      <c r="G5134" s="12" t="inlineStr">
        <is>
          <t>JB-T-MOD-1-AI01</t>
        </is>
      </c>
      <c r="H5134" s="12" t="inlineStr">
        <is>
          <t>T-MOD-1: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408</v>
      </c>
      <c r="U5134" s="15" t="n">
        <v>57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I-I-0521</t>
        </is>
      </c>
      <c r="B5135" s="12" t="inlineStr">
        <is>
          <t>I</t>
        </is>
      </c>
      <c r="C5135" s="12" t="inlineStr">
        <is>
          <t>Modular / portable power</t>
        </is>
      </c>
      <c r="D5135" s="12" t="inlineStr">
        <is>
          <t>Discrete device to JB JB-T-MOD-1-DI01: 16 x 1 pr (field cables)</t>
        </is>
      </c>
      <c r="E5135" s="12" t="inlineStr">
        <is>
          <t>T-MOD-1</t>
        </is>
      </c>
      <c r="F5135" s="12" t="inlineStr">
        <is>
          <t>T-MOD-1: 230 / 34.5 kV</t>
        </is>
      </c>
      <c r="G5135" s="12" t="inlineStr">
        <is>
          <t>JB-T-MOD-1-DI01</t>
        </is>
      </c>
      <c r="H5135" s="12" t="inlineStr">
        <is>
          <t>T-MOD-1: 230 / 34.5 kV</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16</v>
      </c>
      <c r="O5135" s="12" t="n">
        <v>1</v>
      </c>
      <c r="P5135" s="12" t="n"/>
      <c r="Q5135" s="12" t="n"/>
      <c r="R5135" s="12" t="n"/>
      <c r="S5135" s="12" t="inlineStr">
        <is>
          <t>Tray / conduit</t>
        </is>
      </c>
      <c r="T5135" s="15" t="n">
        <v>77</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I-I-0522</t>
        </is>
      </c>
      <c r="B5136" s="12" t="inlineStr">
        <is>
          <t>I</t>
        </is>
      </c>
      <c r="C5136" s="12" t="inlineStr">
        <is>
          <t>Modular / portable power</t>
        </is>
      </c>
      <c r="D5136" s="12" t="inlineStr">
        <is>
          <t>Home run JB-T-MOD-1-DI01 to the control / marshalling room</t>
        </is>
      </c>
      <c r="E5136" s="12" t="inlineStr"/>
      <c r="F5136" s="12" t="inlineStr">
        <is>
          <t>PCM: power control module</t>
        </is>
      </c>
      <c r="G5136" s="12" t="inlineStr">
        <is>
          <t>JB-T-MOD-1-DI01</t>
        </is>
      </c>
      <c r="H5136" s="12" t="inlineStr">
        <is>
          <t>T-MOD-1: 230 / 34.5 kV</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408</v>
      </c>
      <c r="U5136" s="15" t="n">
        <v>57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I-I-0523</t>
        </is>
      </c>
      <c r="B5137" s="12" t="inlineStr">
        <is>
          <t>I</t>
        </is>
      </c>
      <c r="C5137" s="12" t="inlineStr">
        <is>
          <t>Modular / portable power</t>
        </is>
      </c>
      <c r="D5137" s="12" t="inlineStr">
        <is>
          <t>Analog instrument to JB JB-T-MOD-2 / T-MOD-3 -AI01: 8 x 1 pr (field cables)</t>
        </is>
      </c>
      <c r="E5137" s="12" t="inlineStr"/>
      <c r="F5137" s="12" t="inlineStr">
        <is>
          <t>T-MOD-2 / T-MOD-3 firewall</t>
        </is>
      </c>
      <c r="G5137" s="12" t="inlineStr">
        <is>
          <t>JB-T-MOD-2 / T-MOD-3 -AI01</t>
        </is>
      </c>
      <c r="H5137" s="12" t="inlineStr">
        <is>
          <t>T-MOD-2 / T-MOD-3 firewall</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8</v>
      </c>
      <c r="O5137" s="12" t="n">
        <v>1</v>
      </c>
      <c r="P5137" s="12" t="n"/>
      <c r="Q5137" s="12" t="n"/>
      <c r="R5137" s="12" t="n"/>
      <c r="S5137" s="12" t="inlineStr">
        <is>
          <t>Tray / conduit</t>
        </is>
      </c>
      <c r="T5137" s="15" t="n">
        <v>64</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I-I-0524</t>
        </is>
      </c>
      <c r="B5138" s="12" t="inlineStr">
        <is>
          <t>I</t>
        </is>
      </c>
      <c r="C5138" s="12" t="inlineStr">
        <is>
          <t>Modular / portable power</t>
        </is>
      </c>
      <c r="D5138" s="12" t="inlineStr">
        <is>
          <t>Home run JB-T-MOD-2 / T-MOD-3 -AI01 to the control / marshalling room</t>
        </is>
      </c>
      <c r="E5138" s="12" t="inlineStr">
        <is>
          <t>PAD-EH</t>
        </is>
      </c>
      <c r="F5138" s="12" t="inlineStr">
        <is>
          <t>PAD-EH 13.8 kV switchgear e-house</t>
        </is>
      </c>
      <c r="G5138" s="12" t="inlineStr">
        <is>
          <t>JB-T-MOD-2 / T-MOD-3 -AI01</t>
        </is>
      </c>
      <c r="H5138" s="12" t="inlineStr">
        <is>
          <t>T-MOD-2 / T-MOD-3 firewall</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513</v>
      </c>
      <c r="U5138" s="15" t="n">
        <v>60</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I-I-0525</t>
        </is>
      </c>
      <c r="B5139" s="12" t="inlineStr">
        <is>
          <t>I</t>
        </is>
      </c>
      <c r="C5139" s="12" t="inlineStr">
        <is>
          <t>Modular / portable power</t>
        </is>
      </c>
      <c r="D5139" s="12" t="inlineStr">
        <is>
          <t>Discrete device to JB JB-T-MOD-2 / T-MOD-3 -DI01: 16 x 1 pr (field cables)</t>
        </is>
      </c>
      <c r="E5139" s="12" t="inlineStr"/>
      <c r="F5139" s="12" t="inlineStr">
        <is>
          <t>T-MOD-2 / T-MOD-3 firewall</t>
        </is>
      </c>
      <c r="G5139" s="12" t="inlineStr">
        <is>
          <t>JB-T-MOD-2 / T-MOD-3 -DI01</t>
        </is>
      </c>
      <c r="H5139" s="12" t="inlineStr">
        <is>
          <t>T-MOD-2 / T-MOD-3 firewall</t>
        </is>
      </c>
      <c r="I5139" s="12" t="inlineStr">
        <is>
          <t>Instrumentation</t>
        </is>
      </c>
      <c r="J5139" s="12" t="inlineStr">
        <is>
          <t>Instrumentation PLTC / TC-ER 300 V, #18 twisted shielded pairs, overall shield</t>
        </is>
      </c>
      <c r="K5139" s="12" t="inlineStr">
        <is>
          <t>PLTC|1 pr|16</t>
        </is>
      </c>
      <c r="L5139" s="12" t="inlineStr">
        <is>
          <t>1 pr</t>
        </is>
      </c>
      <c r="M5139" s="12" t="inlineStr">
        <is>
          <t>16</t>
        </is>
      </c>
      <c r="N5139" s="12" t="n">
        <v>16</v>
      </c>
      <c r="O5139" s="12" t="n">
        <v>1</v>
      </c>
      <c r="P5139" s="12" t="n"/>
      <c r="Q5139" s="12" t="n"/>
      <c r="R5139" s="12" t="n"/>
      <c r="S5139" s="12" t="inlineStr">
        <is>
          <t>Tray / conduit</t>
        </is>
      </c>
      <c r="T5139" s="15" t="n">
        <v>64</v>
      </c>
      <c r="U5139" s="15" t="n">
        <v>10</v>
      </c>
      <c r="V5139" s="15">
        <f>ROUNDUP((T5139+U5139+2*'Read Me'!$B$13)*(1+'Read Me'!$B$12),-1)</f>
        <v/>
      </c>
      <c r="W5139" s="15">
        <f>V5139*N5139*O5139</f>
        <v/>
      </c>
      <c r="X5139" s="12">
        <f>IF(LEFT(I5139,2)="MV",2*N5139*IF(L5139="1/C",O5139,1),0)</f>
        <v/>
      </c>
      <c r="Y5139" s="12">
        <f>IF(OR(LEFT(K5139,4)="LVAX",LEFT(K5139,6)="MV15AX",LEFT(K5139,4)="CTAX",LEFT(K5139,2)="W|"),2*N5139*O5139,0)</f>
        <v/>
      </c>
      <c r="Z5139" s="12" t="inlineStr">
        <is>
          <t>device-to-JB field wiring, one cable per device</t>
        </is>
      </c>
      <c r="AA5139" s="12">
        <f>N5139*O5139</f>
        <v/>
      </c>
    </row>
    <row r="5140">
      <c r="A5140" s="12" t="inlineStr">
        <is>
          <t>I-I-0526</t>
        </is>
      </c>
      <c r="B5140" s="12" t="inlineStr">
        <is>
          <t>I</t>
        </is>
      </c>
      <c r="C5140" s="12" t="inlineStr">
        <is>
          <t>Modular / portable power</t>
        </is>
      </c>
      <c r="D5140" s="12" t="inlineStr">
        <is>
          <t>Home run JB-T-MOD-2 / T-MOD-3 -DI01 to the control / marshalling room</t>
        </is>
      </c>
      <c r="E5140" s="12" t="inlineStr">
        <is>
          <t>PAD-EH</t>
        </is>
      </c>
      <c r="F5140" s="12" t="inlineStr">
        <is>
          <t>PAD-EH 13.8 kV switchgear e-house</t>
        </is>
      </c>
      <c r="G5140" s="12" t="inlineStr">
        <is>
          <t>JB-T-MOD-2 / T-MOD-3 -DI01</t>
        </is>
      </c>
      <c r="H5140" s="12" t="inlineStr">
        <is>
          <t>T-MOD-2 / T-MOD-3 firewall</t>
        </is>
      </c>
      <c r="I5140" s="12" t="inlineStr">
        <is>
          <t>Instrumentation</t>
        </is>
      </c>
      <c r="J5140" s="12" t="inlineStr">
        <is>
          <t>Instrumentation PLTC / TC-ER 300 V, #18 twisted shielded pairs, overall shield</t>
        </is>
      </c>
      <c r="K5140" s="12" t="inlineStr">
        <is>
          <t>PLTC|24 pr|18</t>
        </is>
      </c>
      <c r="L5140" s="12" t="inlineStr">
        <is>
          <t>24 pr</t>
        </is>
      </c>
      <c r="M5140" s="12" t="inlineStr">
        <is>
          <t>18</t>
        </is>
      </c>
      <c r="N5140" s="12" t="n">
        <v>1</v>
      </c>
      <c r="O5140" s="12" t="n">
        <v>1</v>
      </c>
      <c r="P5140" s="12" t="n"/>
      <c r="Q5140" s="12" t="n"/>
      <c r="R5140" s="12" t="n"/>
      <c r="S5140" s="12" t="inlineStr">
        <is>
          <t>Duct bank</t>
        </is>
      </c>
      <c r="T5140" s="15" t="n">
        <v>513</v>
      </c>
      <c r="U5140" s="15" t="n">
        <v>60</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I-I-0527</t>
        </is>
      </c>
      <c r="B5141" s="12" t="inlineStr">
        <is>
          <t>I</t>
        </is>
      </c>
      <c r="C5141" s="12" t="inlineStr">
        <is>
          <t>Modular / portable power</t>
        </is>
      </c>
      <c r="D5141" s="12" t="inlineStr">
        <is>
          <t>T-MOD-2 monitoring: temperatures, gas relay, oil level</t>
        </is>
      </c>
      <c r="E5141" s="12" t="inlineStr">
        <is>
          <t>MOD-EH</t>
        </is>
      </c>
      <c r="F5141" s="12" t="inlineStr">
        <is>
          <t>MOD-EH: 34.5 kV modular collector e-house (2 bus sections + 13.8 kV st</t>
        </is>
      </c>
      <c r="G5141" s="12" t="inlineStr">
        <is>
          <t>T-MOD-2</t>
        </is>
      </c>
      <c r="H5141" s="12" t="inlineStr">
        <is>
          <t>T-MOD-2: 230 / 34.5 kV</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Duct bank</t>
        </is>
      </c>
      <c r="T5141" s="15" t="n">
        <v>368</v>
      </c>
      <c r="U5141" s="15" t="n">
        <v>32</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I-I-0528</t>
        </is>
      </c>
      <c r="B5142" s="12" t="inlineStr">
        <is>
          <t>I</t>
        </is>
      </c>
      <c r="C5142" s="12" t="inlineStr">
        <is>
          <t>Modular / portable power</t>
        </is>
      </c>
      <c r="D5142" s="12" t="inlineStr">
        <is>
          <t>Analog instrument to JB JB-T-MOD-2-AI01: 8 x 1 pr (field cables)</t>
        </is>
      </c>
      <c r="E5142" s="12" t="inlineStr">
        <is>
          <t>T-MOD-2</t>
        </is>
      </c>
      <c r="F5142" s="12" t="inlineStr">
        <is>
          <t>T-MOD-2: 230 / 34.5 kV</t>
        </is>
      </c>
      <c r="G5142" s="12" t="inlineStr">
        <is>
          <t>JB-T-MOD-2-AI01</t>
        </is>
      </c>
      <c r="H5142" s="12" t="inlineStr">
        <is>
          <t>T-MOD-2: 230 / 34.5 kV</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8</v>
      </c>
      <c r="O5142" s="12" t="n">
        <v>1</v>
      </c>
      <c r="P5142" s="12" t="n"/>
      <c r="Q5142" s="12" t="n"/>
      <c r="R5142" s="12" t="n"/>
      <c r="S5142" s="12" t="inlineStr">
        <is>
          <t>Tray / conduit</t>
        </is>
      </c>
      <c r="T5142" s="15" t="n">
        <v>77</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I-I-0529</t>
        </is>
      </c>
      <c r="B5143" s="12" t="inlineStr">
        <is>
          <t>I</t>
        </is>
      </c>
      <c r="C5143" s="12" t="inlineStr">
        <is>
          <t>Modular / portable power</t>
        </is>
      </c>
      <c r="D5143" s="12" t="inlineStr">
        <is>
          <t>Home run JB-T-MOD-2-AI01 to the control / marshalling room</t>
        </is>
      </c>
      <c r="E5143" s="12" t="inlineStr"/>
      <c r="F5143" s="12" t="inlineStr">
        <is>
          <t>PCM: power control module</t>
        </is>
      </c>
      <c r="G5143" s="12" t="inlineStr">
        <is>
          <t>JB-T-MOD-2-AI01</t>
        </is>
      </c>
      <c r="H5143" s="12" t="inlineStr">
        <is>
          <t>T-MOD-2: 230 / 34.5 kV</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553</v>
      </c>
      <c r="U5143" s="15" t="n">
        <v>32</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I-I-0530</t>
        </is>
      </c>
      <c r="B5144" s="12" t="inlineStr">
        <is>
          <t>I</t>
        </is>
      </c>
      <c r="C5144" s="12" t="inlineStr">
        <is>
          <t>Modular / portable power</t>
        </is>
      </c>
      <c r="D5144" s="12" t="inlineStr">
        <is>
          <t>Discrete device to JB JB-T-MOD-2-DI01: 16 x 1 pr (field cables)</t>
        </is>
      </c>
      <c r="E5144" s="12" t="inlineStr">
        <is>
          <t>T-MOD-2</t>
        </is>
      </c>
      <c r="F5144" s="12" t="inlineStr">
        <is>
          <t>T-MOD-2: 230 / 34.5 kV</t>
        </is>
      </c>
      <c r="G5144" s="12" t="inlineStr">
        <is>
          <t>JB-T-MOD-2-DI01</t>
        </is>
      </c>
      <c r="H5144" s="12" t="inlineStr">
        <is>
          <t>T-MOD-2: 230 / 34.5 kV</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16</v>
      </c>
      <c r="O5144" s="12" t="n">
        <v>1</v>
      </c>
      <c r="P5144" s="12" t="n"/>
      <c r="Q5144" s="12" t="n"/>
      <c r="R5144" s="12" t="n"/>
      <c r="S5144" s="12" t="inlineStr">
        <is>
          <t>Tray / conduit</t>
        </is>
      </c>
      <c r="T5144" s="15" t="n">
        <v>77</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I-I-0531</t>
        </is>
      </c>
      <c r="B5145" s="12" t="inlineStr">
        <is>
          <t>I</t>
        </is>
      </c>
      <c r="C5145" s="12" t="inlineStr">
        <is>
          <t>Modular / portable power</t>
        </is>
      </c>
      <c r="D5145" s="12" t="inlineStr">
        <is>
          <t>Home run JB-T-MOD-2-DI01 to the control / marshalling room</t>
        </is>
      </c>
      <c r="E5145" s="12" t="inlineStr"/>
      <c r="F5145" s="12" t="inlineStr">
        <is>
          <t>PCM: power control module</t>
        </is>
      </c>
      <c r="G5145" s="12" t="inlineStr">
        <is>
          <t>JB-T-MOD-2-DI01</t>
        </is>
      </c>
      <c r="H5145" s="12" t="inlineStr">
        <is>
          <t>T-MOD-2: 230 / 34.5 kV</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553</v>
      </c>
      <c r="U5145" s="15" t="n">
        <v>32</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I-I-0532</t>
        </is>
      </c>
      <c r="B5146" s="12" t="inlineStr">
        <is>
          <t>I</t>
        </is>
      </c>
      <c r="C5146" s="12" t="inlineStr">
        <is>
          <t>Modular / portable power</t>
        </is>
      </c>
      <c r="D5146" s="12" t="inlineStr">
        <is>
          <t>Analog instrument to JB JB-T-MOD-3 230 kV gan-AI01: 8 x 1 pr (field cables)</t>
        </is>
      </c>
      <c r="E5146" s="12" t="inlineStr"/>
      <c r="F5146" s="12" t="inlineStr">
        <is>
          <t>T-MOD-3 230 kV gantry extension with arresters</t>
        </is>
      </c>
      <c r="G5146" s="12" t="inlineStr">
        <is>
          <t>JB-T-MOD-3 230 kV gan-AI01</t>
        </is>
      </c>
      <c r="H5146" s="12" t="inlineStr">
        <is>
          <t>T-MOD-3 230 kV gantry extension with arresters</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8</v>
      </c>
      <c r="O5146" s="12" t="n">
        <v>1</v>
      </c>
      <c r="P5146" s="12" t="n"/>
      <c r="Q5146" s="12" t="n"/>
      <c r="R5146" s="12" t="n"/>
      <c r="S5146" s="12" t="inlineStr">
        <is>
          <t>Tray / conduit</t>
        </is>
      </c>
      <c r="T5146" s="15" t="n">
        <v>85</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I-I-0533</t>
        </is>
      </c>
      <c r="B5147" s="12" t="inlineStr">
        <is>
          <t>I</t>
        </is>
      </c>
      <c r="C5147" s="12" t="inlineStr">
        <is>
          <t>Modular / portable power</t>
        </is>
      </c>
      <c r="D5147" s="12" t="inlineStr">
        <is>
          <t>Home run JB-T-MOD-3 230 kV gan-AI01 to the control / marshalling room</t>
        </is>
      </c>
      <c r="E5147" s="12" t="inlineStr">
        <is>
          <t>PAD-EH</t>
        </is>
      </c>
      <c r="F5147" s="12" t="inlineStr">
        <is>
          <t>PAD-EH 13.8 kV switchgear e-house</t>
        </is>
      </c>
      <c r="G5147" s="12" t="inlineStr">
        <is>
          <t>JB-T-MOD-3 230 kV gan-AI01</t>
        </is>
      </c>
      <c r="H5147" s="12" t="inlineStr">
        <is>
          <t>T-MOD-3 230 kV gantry extension with arresters</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504</v>
      </c>
      <c r="U5147" s="15" t="n">
        <v>38</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I-I-0534</t>
        </is>
      </c>
      <c r="B5148" s="12" t="inlineStr">
        <is>
          <t>I</t>
        </is>
      </c>
      <c r="C5148" s="12" t="inlineStr">
        <is>
          <t>Modular / portable power</t>
        </is>
      </c>
      <c r="D5148" s="12" t="inlineStr">
        <is>
          <t>Discrete device to JB JB-T-MOD-3 230 kV gan-DI01: 16 x 1 pr (field cables)</t>
        </is>
      </c>
      <c r="E5148" s="12" t="inlineStr"/>
      <c r="F5148" s="12" t="inlineStr">
        <is>
          <t>T-MOD-3 230 kV gantry extension with arresters</t>
        </is>
      </c>
      <c r="G5148" s="12" t="inlineStr">
        <is>
          <t>JB-T-MOD-3 230 kV gan-DI01</t>
        </is>
      </c>
      <c r="H5148" s="12" t="inlineStr">
        <is>
          <t>T-MOD-3 230 kV gantry extension with arresters</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16</v>
      </c>
      <c r="O5148" s="12" t="n">
        <v>1</v>
      </c>
      <c r="P5148" s="12" t="n"/>
      <c r="Q5148" s="12" t="n"/>
      <c r="R5148" s="12" t="n"/>
      <c r="S5148" s="12" t="inlineStr">
        <is>
          <t>Tray / conduit</t>
        </is>
      </c>
      <c r="T5148" s="15" t="n">
        <v>85</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I-I-0535</t>
        </is>
      </c>
      <c r="B5149" s="12" t="inlineStr">
        <is>
          <t>I</t>
        </is>
      </c>
      <c r="C5149" s="12" t="inlineStr">
        <is>
          <t>Modular / portable power</t>
        </is>
      </c>
      <c r="D5149" s="12" t="inlineStr">
        <is>
          <t>Home run JB-T-MOD-3 230 kV gan-DI01 to the control / marshalling room</t>
        </is>
      </c>
      <c r="E5149" s="12" t="inlineStr">
        <is>
          <t>PAD-EH</t>
        </is>
      </c>
      <c r="F5149" s="12" t="inlineStr">
        <is>
          <t>PAD-EH 13.8 kV switchgear e-house</t>
        </is>
      </c>
      <c r="G5149" s="12" t="inlineStr">
        <is>
          <t>JB-T-MOD-3 230 kV gan-DI01</t>
        </is>
      </c>
      <c r="H5149" s="12" t="inlineStr">
        <is>
          <t>T-MOD-3 230 kV gantry extension with arresters</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504</v>
      </c>
      <c r="U5149" s="15" t="n">
        <v>38</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I-I-0536</t>
        </is>
      </c>
      <c r="B5150" s="12" t="inlineStr">
        <is>
          <t>I</t>
        </is>
      </c>
      <c r="C5150" s="12" t="inlineStr">
        <is>
          <t>Modular / portable power</t>
        </is>
      </c>
      <c r="D5150" s="12" t="inlineStr">
        <is>
          <t>T-MOD-3 monitoring: temperatures, gas relay, oil level</t>
        </is>
      </c>
      <c r="E5150" s="12" t="inlineStr">
        <is>
          <t>SWG-PK</t>
        </is>
      </c>
      <c r="F5150" s="12" t="inlineStr">
        <is>
          <t>SWG-PK: 34.5 kV park collector switchgear (2 bus sections, tie; 8 feed</t>
        </is>
      </c>
      <c r="G5150" s="12" t="inlineStr">
        <is>
          <t>T-MOD-3</t>
        </is>
      </c>
      <c r="H5150" s="12" t="inlineStr">
        <is>
          <t>T-MOD-3: 230 / 34.5 / 34.5 kV, ~250 MVA three-winding (power park coll</t>
        </is>
      </c>
      <c r="I5150" s="12" t="inlineStr">
        <is>
          <t>Instrumentation</t>
        </is>
      </c>
      <c r="J5150" s="12" t="inlineStr">
        <is>
          <t>Instrumentation ITC / PLTC, IS, #18 shielded pairs, blue jacket</t>
        </is>
      </c>
      <c r="K5150" s="12" t="inlineStr">
        <is>
          <t>ITC|4 pr|18</t>
        </is>
      </c>
      <c r="L5150" s="12" t="inlineStr">
        <is>
          <t>4 pr</t>
        </is>
      </c>
      <c r="M5150" s="12" t="inlineStr">
        <is>
          <t>18</t>
        </is>
      </c>
      <c r="N5150" s="12" t="n">
        <v>1</v>
      </c>
      <c r="O5150" s="12" t="n">
        <v>1</v>
      </c>
      <c r="P5150" s="12" t="n"/>
      <c r="Q5150" s="12" t="n"/>
      <c r="R5150" s="12" t="n"/>
      <c r="S5150" s="12" t="inlineStr">
        <is>
          <t>Duct bank</t>
        </is>
      </c>
      <c r="T5150" s="15" t="n">
        <v>22</v>
      </c>
      <c r="U5150" s="15" t="n">
        <v>58</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I-I-0537</t>
        </is>
      </c>
      <c r="B5151" s="12" t="inlineStr">
        <is>
          <t>I</t>
        </is>
      </c>
      <c r="C5151" s="12" t="inlineStr">
        <is>
          <t>Modular / portable power</t>
        </is>
      </c>
      <c r="D5151" s="12" t="inlineStr">
        <is>
          <t>TGF-1 instrumentation</t>
        </is>
      </c>
      <c r="E5151" s="12" t="inlineStr">
        <is>
          <t>TGF-SWG</t>
        </is>
      </c>
      <c r="F5151" s="12" t="inlineStr">
        <is>
          <t>TGF-SWG: mobile 13.8 kV switchgear trailer (fleet collector)</t>
        </is>
      </c>
      <c r="G5151" s="12" t="inlineStr">
        <is>
          <t>TGF-1</t>
        </is>
      </c>
      <c r="H5151" s="12" t="inlineStr">
        <is>
          <t xml:space="preserve">TGF-1: trailer-mounted gas-engine generator ~2.5 MW, 13.8 kV (trailer </t>
        </is>
      </c>
      <c r="I5151" s="12" t="inlineStr">
        <is>
          <t>Instrumentation</t>
        </is>
      </c>
      <c r="J5151" s="12" t="inlineStr">
        <is>
          <t>Instrumentation ITC / PLTC, IS, #18 shielded pairs, blue jacket</t>
        </is>
      </c>
      <c r="K5151" s="12" t="inlineStr">
        <is>
          <t>ITC|4 pr|18</t>
        </is>
      </c>
      <c r="L5151" s="12" t="inlineStr">
        <is>
          <t>4 pr</t>
        </is>
      </c>
      <c r="M5151" s="12" t="inlineStr">
        <is>
          <t>18</t>
        </is>
      </c>
      <c r="N5151" s="12" t="n">
        <v>1</v>
      </c>
      <c r="O5151" s="12" t="n">
        <v>1</v>
      </c>
      <c r="P5151" s="12" t="n"/>
      <c r="Q5151" s="12" t="n"/>
      <c r="R5151" s="12" t="n"/>
      <c r="S5151" s="12" t="inlineStr">
        <is>
          <t>Surface</t>
        </is>
      </c>
      <c r="T5151" s="15" t="n">
        <v>82</v>
      </c>
      <c r="U5151" s="15" t="n">
        <v>37</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I-I-0538</t>
        </is>
      </c>
      <c r="B5152" s="12" t="inlineStr">
        <is>
          <t>I</t>
        </is>
      </c>
      <c r="C5152" s="12" t="inlineStr">
        <is>
          <t>Modular / portable power</t>
        </is>
      </c>
      <c r="D5152" s="12" t="inlineStr">
        <is>
          <t>TGF-2 instrumentation</t>
        </is>
      </c>
      <c r="E5152" s="12" t="inlineStr">
        <is>
          <t>TGF-SWG</t>
        </is>
      </c>
      <c r="F5152" s="12" t="inlineStr">
        <is>
          <t>TGF-SWG: mobile 13.8 kV switchgear trailer (fleet collector)</t>
        </is>
      </c>
      <c r="G5152" s="12" t="inlineStr">
        <is>
          <t>TGF-2</t>
        </is>
      </c>
      <c r="H5152" s="12" t="inlineStr">
        <is>
          <t xml:space="preserve">TGF-2: trailer-mounted gas-engine generator ~2.5 MW, 13.8 kV (trailer </t>
        </is>
      </c>
      <c r="I5152" s="12" t="inlineStr">
        <is>
          <t>Instrumentation</t>
        </is>
      </c>
      <c r="J5152" s="12" t="inlineStr">
        <is>
          <t>Instrumentation ITC / PLTC, IS, #18 shielded pairs, blue jacket</t>
        </is>
      </c>
      <c r="K5152" s="12" t="inlineStr">
        <is>
          <t>ITC|4 pr|18</t>
        </is>
      </c>
      <c r="L5152" s="12" t="inlineStr">
        <is>
          <t>4 pr</t>
        </is>
      </c>
      <c r="M5152" s="12" t="inlineStr">
        <is>
          <t>18</t>
        </is>
      </c>
      <c r="N5152" s="12" t="n">
        <v>1</v>
      </c>
      <c r="O5152" s="12" t="n">
        <v>1</v>
      </c>
      <c r="P5152" s="12" t="n"/>
      <c r="Q5152" s="12" t="n"/>
      <c r="R5152" s="12" t="n"/>
      <c r="S5152" s="12" t="inlineStr">
        <is>
          <t>Surface</t>
        </is>
      </c>
      <c r="T5152" s="15" t="n">
        <v>68</v>
      </c>
      <c r="U5152" s="15" t="n">
        <v>37</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I-I-0539</t>
        </is>
      </c>
      <c r="B5153" s="12" t="inlineStr">
        <is>
          <t>I</t>
        </is>
      </c>
      <c r="C5153" s="12" t="inlineStr">
        <is>
          <t>Modular / portable power</t>
        </is>
      </c>
      <c r="D5153" s="12" t="inlineStr">
        <is>
          <t>TGF-3 instrumentation</t>
        </is>
      </c>
      <c r="E5153" s="12" t="inlineStr">
        <is>
          <t>TGF-SWG</t>
        </is>
      </c>
      <c r="F5153" s="12" t="inlineStr">
        <is>
          <t>TGF-SWG: mobile 13.8 kV switchgear trailer (fleet collector)</t>
        </is>
      </c>
      <c r="G5153" s="12" t="inlineStr">
        <is>
          <t>TGF-3</t>
        </is>
      </c>
      <c r="H5153" s="12" t="inlineStr">
        <is>
          <t xml:space="preserve">TGF-3: trailer-mounted gas-engine generator ~2.5 MW, 13.8 kV (trailer </t>
        </is>
      </c>
      <c r="I5153" s="12" t="inlineStr">
        <is>
          <t>Instrumentation</t>
        </is>
      </c>
      <c r="J5153" s="12" t="inlineStr">
        <is>
          <t>Instrumentation ITC / PLTC, IS, #18 shielded pairs, blue jacket</t>
        </is>
      </c>
      <c r="K5153" s="12" t="inlineStr">
        <is>
          <t>ITC|4 pr|18</t>
        </is>
      </c>
      <c r="L5153" s="12" t="inlineStr">
        <is>
          <t>4 pr</t>
        </is>
      </c>
      <c r="M5153" s="12" t="inlineStr">
        <is>
          <t>18</t>
        </is>
      </c>
      <c r="N5153" s="12" t="n">
        <v>1</v>
      </c>
      <c r="O5153" s="12" t="n">
        <v>1</v>
      </c>
      <c r="P5153" s="12" t="n"/>
      <c r="Q5153" s="12" t="n"/>
      <c r="R5153" s="12" t="n"/>
      <c r="S5153" s="12" t="inlineStr">
        <is>
          <t>Surface</t>
        </is>
      </c>
      <c r="T5153" s="15" t="n">
        <v>54</v>
      </c>
      <c r="U5153" s="15" t="n">
        <v>37</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I-I-0540</t>
        </is>
      </c>
      <c r="B5154" s="12" t="inlineStr">
        <is>
          <t>I</t>
        </is>
      </c>
      <c r="C5154" s="12" t="inlineStr">
        <is>
          <t>Modular / portable power</t>
        </is>
      </c>
      <c r="D5154" s="12" t="inlineStr">
        <is>
          <t>TGF-4 instrumentation</t>
        </is>
      </c>
      <c r="E5154" s="12" t="inlineStr">
        <is>
          <t>TGF-SWG</t>
        </is>
      </c>
      <c r="F5154" s="12" t="inlineStr">
        <is>
          <t>TGF-SWG: mobile 13.8 kV switchgear trailer (fleet collector)</t>
        </is>
      </c>
      <c r="G5154" s="12" t="inlineStr">
        <is>
          <t>TGF-4</t>
        </is>
      </c>
      <c r="H5154" s="12" t="inlineStr">
        <is>
          <t xml:space="preserve">TGF-4: trailer-mounted gas-engine generator ~2.5 MW, 13.8 kV (trailer </t>
        </is>
      </c>
      <c r="I5154" s="12" t="inlineStr">
        <is>
          <t>Instrumentation</t>
        </is>
      </c>
      <c r="J5154" s="12" t="inlineStr">
        <is>
          <t>Instrumentation ITC / PLTC, IS, #18 shielded pairs, blue jacket</t>
        </is>
      </c>
      <c r="K5154" s="12" t="inlineStr">
        <is>
          <t>ITC|4 pr|18</t>
        </is>
      </c>
      <c r="L5154" s="12" t="inlineStr">
        <is>
          <t>4 pr</t>
        </is>
      </c>
      <c r="M5154" s="12" t="inlineStr">
        <is>
          <t>18</t>
        </is>
      </c>
      <c r="N5154" s="12" t="n">
        <v>1</v>
      </c>
      <c r="O5154" s="12" t="n">
        <v>1</v>
      </c>
      <c r="P5154" s="12" t="n"/>
      <c r="Q5154" s="12" t="n"/>
      <c r="R5154" s="12" t="n"/>
      <c r="S5154" s="12" t="inlineStr">
        <is>
          <t>Surface</t>
        </is>
      </c>
      <c r="T5154" s="15" t="n">
        <v>40</v>
      </c>
      <c r="U5154" s="15" t="n">
        <v>37</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I-I-0541</t>
        </is>
      </c>
      <c r="B5155" s="12" t="inlineStr">
        <is>
          <t>I</t>
        </is>
      </c>
      <c r="C5155" s="12" t="inlineStr">
        <is>
          <t>Modular / portable power</t>
        </is>
      </c>
      <c r="D5155" s="12" t="inlineStr">
        <is>
          <t>TGF-5 instrumentation</t>
        </is>
      </c>
      <c r="E5155" s="12" t="inlineStr">
        <is>
          <t>TGF-SWG</t>
        </is>
      </c>
      <c r="F5155" s="12" t="inlineStr">
        <is>
          <t>TGF-SWG: mobile 13.8 kV switchgear trailer (fleet collector)</t>
        </is>
      </c>
      <c r="G5155" s="12" t="inlineStr">
        <is>
          <t>TGF-5</t>
        </is>
      </c>
      <c r="H5155" s="12" t="inlineStr">
        <is>
          <t xml:space="preserve">TGF-5: trailer-mounted gas-engine generator ~2.5 MW, 13.8 kV (trailer </t>
        </is>
      </c>
      <c r="I5155" s="12" t="inlineStr">
        <is>
          <t>Instrumentation</t>
        </is>
      </c>
      <c r="J5155" s="12" t="inlineStr">
        <is>
          <t>Instrumentation ITC / PLTC, IS, #18 shielded pairs, blue jacket</t>
        </is>
      </c>
      <c r="K5155" s="12" t="inlineStr">
        <is>
          <t>ITC|4 pr|18</t>
        </is>
      </c>
      <c r="L5155" s="12" t="inlineStr">
        <is>
          <t>4 pr</t>
        </is>
      </c>
      <c r="M5155" s="12" t="inlineStr">
        <is>
          <t>18</t>
        </is>
      </c>
      <c r="N5155" s="12" t="n">
        <v>1</v>
      </c>
      <c r="O5155" s="12" t="n">
        <v>1</v>
      </c>
      <c r="P5155" s="12" t="n"/>
      <c r="Q5155" s="12" t="n"/>
      <c r="R5155" s="12" t="n"/>
      <c r="S5155" s="12" t="inlineStr">
        <is>
          <t>Surface</t>
        </is>
      </c>
      <c r="T5155" s="15" t="n">
        <v>34</v>
      </c>
      <c r="U5155" s="15" t="n">
        <v>31</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I-I-0542</t>
        </is>
      </c>
      <c r="B5156" s="12" t="inlineStr">
        <is>
          <t>I</t>
        </is>
      </c>
      <c r="C5156" s="12" t="inlineStr">
        <is>
          <t>Modular / portable power</t>
        </is>
      </c>
      <c r="D5156" s="12" t="inlineStr">
        <is>
          <t>TGF-6 instrumentation</t>
        </is>
      </c>
      <c r="E5156" s="12" t="inlineStr">
        <is>
          <t>TGF-SWG</t>
        </is>
      </c>
      <c r="F5156" s="12" t="inlineStr">
        <is>
          <t>TGF-SWG: mobile 13.8 kV switchgear trailer (fleet collector)</t>
        </is>
      </c>
      <c r="G5156" s="12" t="inlineStr">
        <is>
          <t>TGF-6</t>
        </is>
      </c>
      <c r="H5156" s="12" t="inlineStr">
        <is>
          <t xml:space="preserve">TGF-6: trailer-mounted gas-engine generator ~2.5 MW, 13.8 kV (trailer </t>
        </is>
      </c>
      <c r="I5156" s="12" t="inlineStr">
        <is>
          <t>Instrumentation</t>
        </is>
      </c>
      <c r="J5156" s="12" t="inlineStr">
        <is>
          <t>Instrumentation ITC / PLTC, IS, #18 shielded pairs, blue jacket</t>
        </is>
      </c>
      <c r="K5156" s="12" t="inlineStr">
        <is>
          <t>ITC|4 pr|18</t>
        </is>
      </c>
      <c r="L5156" s="12" t="inlineStr">
        <is>
          <t>4 pr</t>
        </is>
      </c>
      <c r="M5156" s="12" t="inlineStr">
        <is>
          <t>18</t>
        </is>
      </c>
      <c r="N5156" s="12" t="n">
        <v>1</v>
      </c>
      <c r="O5156" s="12" t="n">
        <v>1</v>
      </c>
      <c r="P5156" s="12" t="n"/>
      <c r="Q5156" s="12" t="n"/>
      <c r="R5156" s="12" t="n"/>
      <c r="S5156" s="12" t="inlineStr">
        <is>
          <t>Surface</t>
        </is>
      </c>
      <c r="T5156" s="15" t="n">
        <v>26</v>
      </c>
      <c r="U5156" s="15" t="n">
        <v>27</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I-I-0543</t>
        </is>
      </c>
      <c r="B5157" s="12" t="inlineStr">
        <is>
          <t>I</t>
        </is>
      </c>
      <c r="C5157" s="12" t="inlineStr">
        <is>
          <t>Modular / portable power</t>
        </is>
      </c>
      <c r="D5157" s="12" t="inlineStr">
        <is>
          <t>TGF-GSU monitoring: temperatures, gas relay, oil level</t>
        </is>
      </c>
      <c r="E5157" s="12" t="inlineStr">
        <is>
          <t>TGF-SWG</t>
        </is>
      </c>
      <c r="F5157" s="12" t="inlineStr">
        <is>
          <t>TGF-SWG: mobile 13.8 kV switchgear trailer (fleet collector)</t>
        </is>
      </c>
      <c r="G5157" s="12" t="inlineStr">
        <is>
          <t>TGF-GSU</t>
        </is>
      </c>
      <c r="H5157" s="12" t="inlineStr">
        <is>
          <t>TGF-GSU: 13.8 / 34.5 kV step-up, ~20 MVA (trailer fleet)</t>
        </is>
      </c>
      <c r="I5157" s="12" t="inlineStr">
        <is>
          <t>Instrumentation</t>
        </is>
      </c>
      <c r="J5157" s="12" t="inlineStr">
        <is>
          <t>Instrumentation ITC / PLTC, IS, #18 shielded pairs, blue jacket</t>
        </is>
      </c>
      <c r="K5157" s="12" t="inlineStr">
        <is>
          <t>ITC|4 pr|18</t>
        </is>
      </c>
      <c r="L5157" s="12" t="inlineStr">
        <is>
          <t>4 pr</t>
        </is>
      </c>
      <c r="M5157" s="12" t="inlineStr">
        <is>
          <t>18</t>
        </is>
      </c>
      <c r="N5157" s="12" t="n">
        <v>1</v>
      </c>
      <c r="O5157" s="12" t="n">
        <v>1</v>
      </c>
      <c r="P5157" s="12" t="n"/>
      <c r="Q5157" s="12" t="n"/>
      <c r="R5157" s="12" t="n"/>
      <c r="S5157" s="12" t="inlineStr">
        <is>
          <t>Surface</t>
        </is>
      </c>
      <c r="T5157" s="15" t="n">
        <v>36</v>
      </c>
      <c r="U5157" s="15" t="n">
        <v>27</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I-I-0544</t>
        </is>
      </c>
      <c r="B5158" s="12" t="inlineStr">
        <is>
          <t>I</t>
        </is>
      </c>
      <c r="C5158" s="12" t="inlineStr">
        <is>
          <t>Modular / portable power</t>
        </is>
      </c>
      <c r="D5158" s="12" t="inlineStr">
        <is>
          <t>Analog instrument to JB JB-TM-1-AI01: 20 x 1 pr (field cables)</t>
        </is>
      </c>
      <c r="E5158" s="12" t="inlineStr">
        <is>
          <t>TM-1</t>
        </is>
      </c>
      <c r="F5158" s="12" t="inlineStr">
        <is>
          <t>TM-1: trailer-mounted aeroderivative GT (~35 MW)</t>
        </is>
      </c>
      <c r="G5158" s="12" t="inlineStr">
        <is>
          <t>JB-TM-1-AI01</t>
        </is>
      </c>
      <c r="H5158" s="12" t="inlineStr">
        <is>
          <t>TM-1: trailer-mounted aeroderivative GT (~35 MW)</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20</v>
      </c>
      <c r="O5158" s="12" t="n">
        <v>1</v>
      </c>
      <c r="P5158" s="12" t="n"/>
      <c r="Q5158" s="12" t="n"/>
      <c r="R5158" s="12" t="n"/>
      <c r="S5158" s="12" t="inlineStr">
        <is>
          <t>Tray / conduit</t>
        </is>
      </c>
      <c r="T5158" s="15" t="n">
        <v>108</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I-I-0545</t>
        </is>
      </c>
      <c r="B5159" s="12" t="inlineStr">
        <is>
          <t>I</t>
        </is>
      </c>
      <c r="C5159" s="12" t="inlineStr">
        <is>
          <t>Modular / portable power</t>
        </is>
      </c>
      <c r="D5159" s="12" t="inlineStr">
        <is>
          <t>Home run JB-TM-1-AI01 to the control / marshalling room</t>
        </is>
      </c>
      <c r="E5159" s="12" t="inlineStr">
        <is>
          <t>PAD-EH</t>
        </is>
      </c>
      <c r="F5159" s="12" t="inlineStr">
        <is>
          <t>PAD-EH 13.8 kV switchgear e-house</t>
        </is>
      </c>
      <c r="G5159" s="12" t="inlineStr">
        <is>
          <t>JB-TM-1-AI01</t>
        </is>
      </c>
      <c r="H5159" s="12" t="inlineStr">
        <is>
          <t>TM-1: trailer-mounted aeroderivative GT (~35 MW)</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435</v>
      </c>
      <c r="U5159" s="15" t="n">
        <v>39</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I-I-0546</t>
        </is>
      </c>
      <c r="B5160" s="12" t="inlineStr">
        <is>
          <t>I</t>
        </is>
      </c>
      <c r="C5160" s="12" t="inlineStr">
        <is>
          <t>Modular / portable power</t>
        </is>
      </c>
      <c r="D5160" s="12" t="inlineStr">
        <is>
          <t>Analog instrument to JB JB-TM-1-AI02: 20 x 1 pr (field cables)</t>
        </is>
      </c>
      <c r="E5160" s="12" t="inlineStr">
        <is>
          <t>TM-1</t>
        </is>
      </c>
      <c r="F5160" s="12" t="inlineStr">
        <is>
          <t>TM-1: trailer-mounted aeroderivative GT (~35 MW)</t>
        </is>
      </c>
      <c r="G5160" s="12" t="inlineStr">
        <is>
          <t>JB-TM-1-AI02</t>
        </is>
      </c>
      <c r="H5160" s="12" t="inlineStr">
        <is>
          <t>TM-1: trailer-mounted aeroderivative GT (~35 MW)</t>
        </is>
      </c>
      <c r="I5160" s="12" t="inlineStr">
        <is>
          <t>Instrumentation</t>
        </is>
      </c>
      <c r="J5160" s="12" t="inlineStr">
        <is>
          <t>Instrumentation PLTC / TC-ER 300 V, #18 twisted shielded pairs, overall shield</t>
        </is>
      </c>
      <c r="K5160" s="12" t="inlineStr">
        <is>
          <t>PLTC|1 pr|16</t>
        </is>
      </c>
      <c r="L5160" s="12" t="inlineStr">
        <is>
          <t>1 pr</t>
        </is>
      </c>
      <c r="M5160" s="12" t="inlineStr">
        <is>
          <t>16</t>
        </is>
      </c>
      <c r="N5160" s="12" t="n">
        <v>20</v>
      </c>
      <c r="O5160" s="12" t="n">
        <v>1</v>
      </c>
      <c r="P5160" s="12" t="n"/>
      <c r="Q5160" s="12" t="n"/>
      <c r="R5160" s="12" t="n"/>
      <c r="S5160" s="12" t="inlineStr">
        <is>
          <t>Tray / conduit</t>
        </is>
      </c>
      <c r="T5160" s="15" t="n">
        <v>108</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device-to-JB field wiring, one cable per device</t>
        </is>
      </c>
      <c r="AA5160" s="12">
        <f>N5160*O5160</f>
        <v/>
      </c>
    </row>
    <row r="5161">
      <c r="A5161" s="12" t="inlineStr">
        <is>
          <t>I-I-0547</t>
        </is>
      </c>
      <c r="B5161" s="12" t="inlineStr">
        <is>
          <t>I</t>
        </is>
      </c>
      <c r="C5161" s="12" t="inlineStr">
        <is>
          <t>Modular / portable power</t>
        </is>
      </c>
      <c r="D5161" s="12" t="inlineStr">
        <is>
          <t>Home run JB-TM-1-AI02 to the control / marshalling room</t>
        </is>
      </c>
      <c r="E5161" s="12" t="inlineStr">
        <is>
          <t>PAD-EH</t>
        </is>
      </c>
      <c r="F5161" s="12" t="inlineStr">
        <is>
          <t>PAD-EH 13.8 kV switchgear e-house</t>
        </is>
      </c>
      <c r="G5161" s="12" t="inlineStr">
        <is>
          <t>JB-TM-1-AI02</t>
        </is>
      </c>
      <c r="H5161" s="12" t="inlineStr">
        <is>
          <t>TM-1: trailer-mounted aeroderivative GT (~35 MW)</t>
        </is>
      </c>
      <c r="I5161" s="12" t="inlineStr">
        <is>
          <t>Instrumentation</t>
        </is>
      </c>
      <c r="J5161" s="12" t="inlineStr">
        <is>
          <t>Instrumentation PLTC / TC-ER 300 V, #18 twisted shielded pairs, overall shield</t>
        </is>
      </c>
      <c r="K5161" s="12" t="inlineStr">
        <is>
          <t>PLTC|24 pr|18</t>
        </is>
      </c>
      <c r="L5161" s="12" t="inlineStr">
        <is>
          <t>24 pr</t>
        </is>
      </c>
      <c r="M5161" s="12" t="inlineStr">
        <is>
          <t>18</t>
        </is>
      </c>
      <c r="N5161" s="12" t="n">
        <v>1</v>
      </c>
      <c r="O5161" s="12" t="n">
        <v>1</v>
      </c>
      <c r="P5161" s="12" t="n"/>
      <c r="Q5161" s="12" t="n"/>
      <c r="R5161" s="12" t="n"/>
      <c r="S5161" s="12" t="inlineStr">
        <is>
          <t>Duct bank</t>
        </is>
      </c>
      <c r="T5161" s="15" t="n">
        <v>435</v>
      </c>
      <c r="U5161" s="15" t="n">
        <v>39</v>
      </c>
      <c r="V5161" s="15">
        <f>ROUNDUP((T5161+U5161+2*'Read Me'!$B$13)*(1+'Read Me'!$B$12),-1)</f>
        <v/>
      </c>
      <c r="W5161" s="15">
        <f>V5161*N5161*O5161</f>
        <v/>
      </c>
      <c r="X5161" s="12">
        <f>IF(LEFT(I5161,2)="MV",2*N5161*IF(L5161="1/C",O5161,1),0)</f>
        <v/>
      </c>
      <c r="Y5161" s="12">
        <f>IF(OR(LEFT(K5161,4)="LVAX",LEFT(K5161,6)="MV15AX",LEFT(K5161,4)="CTAX",LEFT(K5161,2)="W|"),2*N5161*O5161,0)</f>
        <v/>
      </c>
      <c r="Z5161" s="12" t="inlineStr"/>
      <c r="AA5161" s="12">
        <f>N5161*O5161</f>
        <v/>
      </c>
    </row>
    <row r="5162">
      <c r="A5162" s="12" t="inlineStr">
        <is>
          <t>I-I-0548</t>
        </is>
      </c>
      <c r="B5162" s="12" t="inlineStr">
        <is>
          <t>I</t>
        </is>
      </c>
      <c r="C5162" s="12" t="inlineStr">
        <is>
          <t>Modular / portable power</t>
        </is>
      </c>
      <c r="D5162" s="12" t="inlineStr">
        <is>
          <t>Analog instrument to JB JB-TM-1-AI03: 20 x 1 pr (field cables)</t>
        </is>
      </c>
      <c r="E5162" s="12" t="inlineStr">
        <is>
          <t>TM-1</t>
        </is>
      </c>
      <c r="F5162" s="12" t="inlineStr">
        <is>
          <t>TM-1: trailer-mounted aeroderivative GT (~35 MW)</t>
        </is>
      </c>
      <c r="G5162" s="12" t="inlineStr">
        <is>
          <t>JB-TM-1-AI03</t>
        </is>
      </c>
      <c r="H5162" s="12" t="inlineStr">
        <is>
          <t>TM-1: trailer-mounted aeroderivative GT (~35 MW)</t>
        </is>
      </c>
      <c r="I5162" s="12" t="inlineStr">
        <is>
          <t>Instrumentation</t>
        </is>
      </c>
      <c r="J5162" s="12" t="inlineStr">
        <is>
          <t>Instrumentation PLTC / TC-ER 300 V, #18 twisted shielded pairs, overall shield</t>
        </is>
      </c>
      <c r="K5162" s="12" t="inlineStr">
        <is>
          <t>PLTC|1 pr|16</t>
        </is>
      </c>
      <c r="L5162" s="12" t="inlineStr">
        <is>
          <t>1 pr</t>
        </is>
      </c>
      <c r="M5162" s="12" t="inlineStr">
        <is>
          <t>16</t>
        </is>
      </c>
      <c r="N5162" s="12" t="n">
        <v>20</v>
      </c>
      <c r="O5162" s="12" t="n">
        <v>1</v>
      </c>
      <c r="P5162" s="12" t="n"/>
      <c r="Q5162" s="12" t="n"/>
      <c r="R5162" s="12" t="n"/>
      <c r="S5162" s="12" t="inlineStr">
        <is>
          <t>Tray / conduit</t>
        </is>
      </c>
      <c r="T5162" s="15" t="n">
        <v>108</v>
      </c>
      <c r="U5162" s="15" t="n">
        <v>10</v>
      </c>
      <c r="V5162" s="15">
        <f>ROUNDUP((T5162+U5162+2*'Read Me'!$B$13)*(1+'Read Me'!$B$12),-1)</f>
        <v/>
      </c>
      <c r="W5162" s="15">
        <f>V5162*N5162*O5162</f>
        <v/>
      </c>
      <c r="X5162" s="12">
        <f>IF(LEFT(I5162,2)="MV",2*N5162*IF(L5162="1/C",O5162,1),0)</f>
        <v/>
      </c>
      <c r="Y5162" s="12">
        <f>IF(OR(LEFT(K5162,4)="LVAX",LEFT(K5162,6)="MV15AX",LEFT(K5162,4)="CTAX",LEFT(K5162,2)="W|"),2*N5162*O5162,0)</f>
        <v/>
      </c>
      <c r="Z5162" s="12" t="inlineStr">
        <is>
          <t>device-to-JB field wiring, one cable per device</t>
        </is>
      </c>
      <c r="AA5162" s="12">
        <f>N5162*O5162</f>
        <v/>
      </c>
    </row>
    <row r="5163">
      <c r="A5163" s="12" t="inlineStr">
        <is>
          <t>I-I-0549</t>
        </is>
      </c>
      <c r="B5163" s="12" t="inlineStr">
        <is>
          <t>I</t>
        </is>
      </c>
      <c r="C5163" s="12" t="inlineStr">
        <is>
          <t>Modular / portable power</t>
        </is>
      </c>
      <c r="D5163" s="12" t="inlineStr">
        <is>
          <t>Home run JB-TM-1-AI03 to the control / marshalling room</t>
        </is>
      </c>
      <c r="E5163" s="12" t="inlineStr">
        <is>
          <t>PAD-EH</t>
        </is>
      </c>
      <c r="F5163" s="12" t="inlineStr">
        <is>
          <t>PAD-EH 13.8 kV switchgear e-house</t>
        </is>
      </c>
      <c r="G5163" s="12" t="inlineStr">
        <is>
          <t>JB-TM-1-AI03</t>
        </is>
      </c>
      <c r="H5163" s="12" t="inlineStr">
        <is>
          <t>TM-1: trailer-mounted aeroderivative GT (~35 MW)</t>
        </is>
      </c>
      <c r="I5163" s="12" t="inlineStr">
        <is>
          <t>Instrumentation</t>
        </is>
      </c>
      <c r="J5163" s="12" t="inlineStr">
        <is>
          <t>Instrumentation PLTC / TC-ER 300 V, #18 twisted shielded pairs, overall shield</t>
        </is>
      </c>
      <c r="K5163" s="12" t="inlineStr">
        <is>
          <t>PLTC|24 pr|18</t>
        </is>
      </c>
      <c r="L5163" s="12" t="inlineStr">
        <is>
          <t>24 pr</t>
        </is>
      </c>
      <c r="M5163" s="12" t="inlineStr">
        <is>
          <t>18</t>
        </is>
      </c>
      <c r="N5163" s="12" t="n">
        <v>1</v>
      </c>
      <c r="O5163" s="12" t="n">
        <v>1</v>
      </c>
      <c r="P5163" s="12" t="n"/>
      <c r="Q5163" s="12" t="n"/>
      <c r="R5163" s="12" t="n"/>
      <c r="S5163" s="12" t="inlineStr">
        <is>
          <t>Duct bank</t>
        </is>
      </c>
      <c r="T5163" s="15" t="n">
        <v>435</v>
      </c>
      <c r="U5163" s="15" t="n">
        <v>39</v>
      </c>
      <c r="V5163" s="15">
        <f>ROUNDUP((T5163+U5163+2*'Read Me'!$B$13)*(1+'Read Me'!$B$12),-1)</f>
        <v/>
      </c>
      <c r="W5163" s="15">
        <f>V5163*N5163*O5163</f>
        <v/>
      </c>
      <c r="X5163" s="12">
        <f>IF(LEFT(I5163,2)="MV",2*N5163*IF(L5163="1/C",O5163,1),0)</f>
        <v/>
      </c>
      <c r="Y5163" s="12">
        <f>IF(OR(LEFT(K5163,4)="LVAX",LEFT(K5163,6)="MV15AX",LEFT(K5163,4)="CTAX",LEFT(K5163,2)="W|"),2*N5163*O5163,0)</f>
        <v/>
      </c>
      <c r="Z5163" s="12" t="inlineStr"/>
      <c r="AA5163" s="12">
        <f>N5163*O5163</f>
        <v/>
      </c>
    </row>
    <row r="5164">
      <c r="A5164" s="12" t="inlineStr">
        <is>
          <t>I-I-0550</t>
        </is>
      </c>
      <c r="B5164" s="12" t="inlineStr">
        <is>
          <t>I</t>
        </is>
      </c>
      <c r="C5164" s="12" t="inlineStr">
        <is>
          <t>Modular / portable power</t>
        </is>
      </c>
      <c r="D5164" s="12" t="inlineStr">
        <is>
          <t>Analog instrument to JB JB-TM-1-AI04: 20 x 1 pr (field cables)</t>
        </is>
      </c>
      <c r="E5164" s="12" t="inlineStr">
        <is>
          <t>TM-1</t>
        </is>
      </c>
      <c r="F5164" s="12" t="inlineStr">
        <is>
          <t>TM-1: trailer-mounted aeroderivative GT (~35 MW)</t>
        </is>
      </c>
      <c r="G5164" s="12" t="inlineStr">
        <is>
          <t>JB-TM-1-AI04</t>
        </is>
      </c>
      <c r="H5164" s="12" t="inlineStr">
        <is>
          <t>TM-1: trailer-mounted aeroderivative GT (~35 MW)</t>
        </is>
      </c>
      <c r="I5164" s="12" t="inlineStr">
        <is>
          <t>Instrumentation</t>
        </is>
      </c>
      <c r="J5164" s="12" t="inlineStr">
        <is>
          <t>Instrumentation PLTC / TC-ER 300 V, #18 twisted shielded pairs, overall shield</t>
        </is>
      </c>
      <c r="K5164" s="12" t="inlineStr">
        <is>
          <t>PLTC|1 pr|16</t>
        </is>
      </c>
      <c r="L5164" s="12" t="inlineStr">
        <is>
          <t>1 pr</t>
        </is>
      </c>
      <c r="M5164" s="12" t="inlineStr">
        <is>
          <t>16</t>
        </is>
      </c>
      <c r="N5164" s="12" t="n">
        <v>20</v>
      </c>
      <c r="O5164" s="12" t="n">
        <v>1</v>
      </c>
      <c r="P5164" s="12" t="n"/>
      <c r="Q5164" s="12" t="n"/>
      <c r="R5164" s="12" t="n"/>
      <c r="S5164" s="12" t="inlineStr">
        <is>
          <t>Tray / conduit</t>
        </is>
      </c>
      <c r="T5164" s="15" t="n">
        <v>108</v>
      </c>
      <c r="U5164" s="15" t="n">
        <v>10</v>
      </c>
      <c r="V5164" s="15">
        <f>ROUNDUP((T5164+U5164+2*'Read Me'!$B$13)*(1+'Read Me'!$B$12),-1)</f>
        <v/>
      </c>
      <c r="W5164" s="15">
        <f>V5164*N5164*O5164</f>
        <v/>
      </c>
      <c r="X5164" s="12">
        <f>IF(LEFT(I5164,2)="MV",2*N5164*IF(L5164="1/C",O5164,1),0)</f>
        <v/>
      </c>
      <c r="Y5164" s="12">
        <f>IF(OR(LEFT(K5164,4)="LVAX",LEFT(K5164,6)="MV15AX",LEFT(K5164,4)="CTAX",LEFT(K5164,2)="W|"),2*N5164*O5164,0)</f>
        <v/>
      </c>
      <c r="Z5164" s="12" t="inlineStr">
        <is>
          <t>device-to-JB field wiring, one cable per device</t>
        </is>
      </c>
      <c r="AA5164" s="12">
        <f>N5164*O5164</f>
        <v/>
      </c>
    </row>
    <row r="5165">
      <c r="A5165" s="12" t="inlineStr">
        <is>
          <t>I-I-0551</t>
        </is>
      </c>
      <c r="B5165" s="12" t="inlineStr">
        <is>
          <t>I</t>
        </is>
      </c>
      <c r="C5165" s="12" t="inlineStr">
        <is>
          <t>Modular / portable power</t>
        </is>
      </c>
      <c r="D5165" s="12" t="inlineStr">
        <is>
          <t>Home run JB-TM-1-AI04 to the control / marshalling room</t>
        </is>
      </c>
      <c r="E5165" s="12" t="inlineStr">
        <is>
          <t>PAD-EH</t>
        </is>
      </c>
      <c r="F5165" s="12" t="inlineStr">
        <is>
          <t>PAD-EH 13.8 kV switchgear e-house</t>
        </is>
      </c>
      <c r="G5165" s="12" t="inlineStr">
        <is>
          <t>JB-TM-1-AI04</t>
        </is>
      </c>
      <c r="H5165" s="12" t="inlineStr">
        <is>
          <t>TM-1: trailer-mounted aeroderivative GT (~35 MW)</t>
        </is>
      </c>
      <c r="I5165" s="12" t="inlineStr">
        <is>
          <t>Instrumentation</t>
        </is>
      </c>
      <c r="J5165" s="12" t="inlineStr">
        <is>
          <t>Instrumentation PLTC / TC-ER 300 V, #18 twisted shielded pairs, overall shield</t>
        </is>
      </c>
      <c r="K5165" s="12" t="inlineStr">
        <is>
          <t>PLTC|24 pr|18</t>
        </is>
      </c>
      <c r="L5165" s="12" t="inlineStr">
        <is>
          <t>24 pr</t>
        </is>
      </c>
      <c r="M5165" s="12" t="inlineStr">
        <is>
          <t>18</t>
        </is>
      </c>
      <c r="N5165" s="12" t="n">
        <v>1</v>
      </c>
      <c r="O5165" s="12" t="n">
        <v>1</v>
      </c>
      <c r="P5165" s="12" t="n"/>
      <c r="Q5165" s="12" t="n"/>
      <c r="R5165" s="12" t="n"/>
      <c r="S5165" s="12" t="inlineStr">
        <is>
          <t>Duct bank</t>
        </is>
      </c>
      <c r="T5165" s="15" t="n">
        <v>435</v>
      </c>
      <c r="U5165" s="15" t="n">
        <v>39</v>
      </c>
      <c r="V5165" s="15">
        <f>ROUNDUP((T5165+U5165+2*'Read Me'!$B$13)*(1+'Read Me'!$B$12),-1)</f>
        <v/>
      </c>
      <c r="W5165" s="15">
        <f>V5165*N5165*O5165</f>
        <v/>
      </c>
      <c r="X5165" s="12">
        <f>IF(LEFT(I5165,2)="MV",2*N5165*IF(L5165="1/C",O5165,1),0)</f>
        <v/>
      </c>
      <c r="Y5165" s="12">
        <f>IF(OR(LEFT(K5165,4)="LVAX",LEFT(K5165,6)="MV15AX",LEFT(K5165,4)="CTAX",LEFT(K5165,2)="W|"),2*N5165*O5165,0)</f>
        <v/>
      </c>
      <c r="Z5165" s="12" t="inlineStr"/>
      <c r="AA5165" s="12">
        <f>N5165*O5165</f>
        <v/>
      </c>
    </row>
    <row r="5166">
      <c r="A5166" s="12" t="inlineStr">
        <is>
          <t>I-I-0552</t>
        </is>
      </c>
      <c r="B5166" s="12" t="inlineStr">
        <is>
          <t>I</t>
        </is>
      </c>
      <c r="C5166" s="12" t="inlineStr">
        <is>
          <t>Modular / portable power</t>
        </is>
      </c>
      <c r="D5166" s="12" t="inlineStr">
        <is>
          <t>Analog instrument to JB JB-TM-1-AI05: 20 x 1 pr (field cables)</t>
        </is>
      </c>
      <c r="E5166" s="12" t="inlineStr">
        <is>
          <t>TM-1</t>
        </is>
      </c>
      <c r="F5166" s="12" t="inlineStr">
        <is>
          <t>TM-1: trailer-mounted aeroderivative GT (~35 MW)</t>
        </is>
      </c>
      <c r="G5166" s="12" t="inlineStr">
        <is>
          <t>JB-TM-1-AI05</t>
        </is>
      </c>
      <c r="H5166" s="12" t="inlineStr">
        <is>
          <t>TM-1: trailer-mounted aeroderivative GT (~35 MW)</t>
        </is>
      </c>
      <c r="I5166" s="12" t="inlineStr">
        <is>
          <t>Instrumentation</t>
        </is>
      </c>
      <c r="J5166" s="12" t="inlineStr">
        <is>
          <t>Instrumentation PLTC / TC-ER 300 V, #18 twisted shielded pairs, overall shield</t>
        </is>
      </c>
      <c r="K5166" s="12" t="inlineStr">
        <is>
          <t>PLTC|1 pr|16</t>
        </is>
      </c>
      <c r="L5166" s="12" t="inlineStr">
        <is>
          <t>1 pr</t>
        </is>
      </c>
      <c r="M5166" s="12" t="inlineStr">
        <is>
          <t>16</t>
        </is>
      </c>
      <c r="N5166" s="12" t="n">
        <v>20</v>
      </c>
      <c r="O5166" s="12" t="n">
        <v>1</v>
      </c>
      <c r="P5166" s="12" t="n"/>
      <c r="Q5166" s="12" t="n"/>
      <c r="R5166" s="12" t="n"/>
      <c r="S5166" s="12" t="inlineStr">
        <is>
          <t>Tray / conduit</t>
        </is>
      </c>
      <c r="T5166" s="15" t="n">
        <v>108</v>
      </c>
      <c r="U5166" s="15" t="n">
        <v>10</v>
      </c>
      <c r="V5166" s="15">
        <f>ROUNDUP((T5166+U5166+2*'Read Me'!$B$13)*(1+'Read Me'!$B$12),-1)</f>
        <v/>
      </c>
      <c r="W5166" s="15">
        <f>V5166*N5166*O5166</f>
        <v/>
      </c>
      <c r="X5166" s="12">
        <f>IF(LEFT(I5166,2)="MV",2*N5166*IF(L5166="1/C",O5166,1),0)</f>
        <v/>
      </c>
      <c r="Y5166" s="12">
        <f>IF(OR(LEFT(K5166,4)="LVAX",LEFT(K5166,6)="MV15AX",LEFT(K5166,4)="CTAX",LEFT(K5166,2)="W|"),2*N5166*O5166,0)</f>
        <v/>
      </c>
      <c r="Z5166" s="12" t="inlineStr">
        <is>
          <t>device-to-JB field wiring, one cable per device</t>
        </is>
      </c>
      <c r="AA5166" s="12">
        <f>N5166*O5166</f>
        <v/>
      </c>
    </row>
    <row r="5167">
      <c r="A5167" s="12" t="inlineStr">
        <is>
          <t>I-I-0553</t>
        </is>
      </c>
      <c r="B5167" s="12" t="inlineStr">
        <is>
          <t>I</t>
        </is>
      </c>
      <c r="C5167" s="12" t="inlineStr">
        <is>
          <t>Modular / portable power</t>
        </is>
      </c>
      <c r="D5167" s="12" t="inlineStr">
        <is>
          <t>Home run JB-TM-1-AI05 to the control / marshalling room</t>
        </is>
      </c>
      <c r="E5167" s="12" t="inlineStr">
        <is>
          <t>PAD-EH</t>
        </is>
      </c>
      <c r="F5167" s="12" t="inlineStr">
        <is>
          <t>PAD-EH 13.8 kV switchgear e-house</t>
        </is>
      </c>
      <c r="G5167" s="12" t="inlineStr">
        <is>
          <t>JB-TM-1-AI05</t>
        </is>
      </c>
      <c r="H5167" s="12" t="inlineStr">
        <is>
          <t>TM-1: trailer-mounted aeroderivative GT (~35 MW)</t>
        </is>
      </c>
      <c r="I5167" s="12" t="inlineStr">
        <is>
          <t>Instrumentation</t>
        </is>
      </c>
      <c r="J5167" s="12" t="inlineStr">
        <is>
          <t>Instrumentation PLTC / TC-ER 300 V, #18 twisted shielded pairs, overall shield</t>
        </is>
      </c>
      <c r="K5167" s="12" t="inlineStr">
        <is>
          <t>PLTC|24 pr|18</t>
        </is>
      </c>
      <c r="L5167" s="12" t="inlineStr">
        <is>
          <t>24 pr</t>
        </is>
      </c>
      <c r="M5167" s="12" t="inlineStr">
        <is>
          <t>18</t>
        </is>
      </c>
      <c r="N5167" s="12" t="n">
        <v>1</v>
      </c>
      <c r="O5167" s="12" t="n">
        <v>1</v>
      </c>
      <c r="P5167" s="12" t="n"/>
      <c r="Q5167" s="12" t="n"/>
      <c r="R5167" s="12" t="n"/>
      <c r="S5167" s="12" t="inlineStr">
        <is>
          <t>Duct bank</t>
        </is>
      </c>
      <c r="T5167" s="15" t="n">
        <v>435</v>
      </c>
      <c r="U5167" s="15" t="n">
        <v>39</v>
      </c>
      <c r="V5167" s="15">
        <f>ROUNDUP((T5167+U5167+2*'Read Me'!$B$13)*(1+'Read Me'!$B$12),-1)</f>
        <v/>
      </c>
      <c r="W5167" s="15">
        <f>V5167*N5167*O5167</f>
        <v/>
      </c>
      <c r="X5167" s="12">
        <f>IF(LEFT(I5167,2)="MV",2*N5167*IF(L5167="1/C",O5167,1),0)</f>
        <v/>
      </c>
      <c r="Y5167" s="12">
        <f>IF(OR(LEFT(K5167,4)="LVAX",LEFT(K5167,6)="MV15AX",LEFT(K5167,4)="CTAX",LEFT(K5167,2)="W|"),2*N5167*O5167,0)</f>
        <v/>
      </c>
      <c r="Z5167" s="12" t="inlineStr"/>
      <c r="AA5167" s="12">
        <f>N5167*O5167</f>
        <v/>
      </c>
    </row>
    <row r="5168">
      <c r="A5168" s="12" t="inlineStr">
        <is>
          <t>I-I-0554</t>
        </is>
      </c>
      <c r="B5168" s="12" t="inlineStr">
        <is>
          <t>I</t>
        </is>
      </c>
      <c r="C5168" s="12" t="inlineStr">
        <is>
          <t>Modular / portable power</t>
        </is>
      </c>
      <c r="D5168" s="12" t="inlineStr">
        <is>
          <t>Discrete device to JB JB-TM-1-DI01: 20 x 1 pr (field cables)</t>
        </is>
      </c>
      <c r="E5168" s="12" t="inlineStr">
        <is>
          <t>TM-1</t>
        </is>
      </c>
      <c r="F5168" s="12" t="inlineStr">
        <is>
          <t>TM-1: trailer-mounted aeroderivative GT (~35 MW)</t>
        </is>
      </c>
      <c r="G5168" s="12" t="inlineStr">
        <is>
          <t>JB-TM-1-DI01</t>
        </is>
      </c>
      <c r="H5168" s="12" t="inlineStr">
        <is>
          <t>TM-1: trailer-mounted aeroderivative GT (~35 MW)</t>
        </is>
      </c>
      <c r="I5168" s="12" t="inlineStr">
        <is>
          <t>Instrumentation</t>
        </is>
      </c>
      <c r="J5168" s="12" t="inlineStr">
        <is>
          <t>Instrumentation PLTC / TC-ER 300 V, #18 twisted shielded pairs, overall shield</t>
        </is>
      </c>
      <c r="K5168" s="12" t="inlineStr">
        <is>
          <t>PLTC|1 pr|16</t>
        </is>
      </c>
      <c r="L5168" s="12" t="inlineStr">
        <is>
          <t>1 pr</t>
        </is>
      </c>
      <c r="M5168" s="12" t="inlineStr">
        <is>
          <t>16</t>
        </is>
      </c>
      <c r="N5168" s="12" t="n">
        <v>20</v>
      </c>
      <c r="O5168" s="12" t="n">
        <v>1</v>
      </c>
      <c r="P5168" s="12" t="n"/>
      <c r="Q5168" s="12" t="n"/>
      <c r="R5168" s="12" t="n"/>
      <c r="S5168" s="12" t="inlineStr">
        <is>
          <t>Tray / conduit</t>
        </is>
      </c>
      <c r="T5168" s="15" t="n">
        <v>108</v>
      </c>
      <c r="U5168" s="15" t="n">
        <v>10</v>
      </c>
      <c r="V5168" s="15">
        <f>ROUNDUP((T5168+U5168+2*'Read Me'!$B$13)*(1+'Read Me'!$B$12),-1)</f>
        <v/>
      </c>
      <c r="W5168" s="15">
        <f>V5168*N5168*O5168</f>
        <v/>
      </c>
      <c r="X5168" s="12">
        <f>IF(LEFT(I5168,2)="MV",2*N5168*IF(L5168="1/C",O5168,1),0)</f>
        <v/>
      </c>
      <c r="Y5168" s="12">
        <f>IF(OR(LEFT(K5168,4)="LVAX",LEFT(K5168,6)="MV15AX",LEFT(K5168,4)="CTAX",LEFT(K5168,2)="W|"),2*N5168*O5168,0)</f>
        <v/>
      </c>
      <c r="Z5168" s="12" t="inlineStr">
        <is>
          <t>device-to-JB field wiring, one cable per device</t>
        </is>
      </c>
      <c r="AA5168" s="12">
        <f>N5168*O5168</f>
        <v/>
      </c>
    </row>
    <row r="5169">
      <c r="A5169" s="12" t="inlineStr">
        <is>
          <t>I-I-0555</t>
        </is>
      </c>
      <c r="B5169" s="12" t="inlineStr">
        <is>
          <t>I</t>
        </is>
      </c>
      <c r="C5169" s="12" t="inlineStr">
        <is>
          <t>Modular / portable power</t>
        </is>
      </c>
      <c r="D5169" s="12" t="inlineStr">
        <is>
          <t>Home run JB-TM-1-DI01 to the control / marshalling room</t>
        </is>
      </c>
      <c r="E5169" s="12" t="inlineStr">
        <is>
          <t>PAD-EH</t>
        </is>
      </c>
      <c r="F5169" s="12" t="inlineStr">
        <is>
          <t>PAD-EH 13.8 kV switchgear e-house</t>
        </is>
      </c>
      <c r="G5169" s="12" t="inlineStr">
        <is>
          <t>JB-TM-1-DI01</t>
        </is>
      </c>
      <c r="H5169" s="12" t="inlineStr">
        <is>
          <t>TM-1: trailer-mounted aeroderivative GT (~35 MW)</t>
        </is>
      </c>
      <c r="I5169" s="12" t="inlineStr">
        <is>
          <t>Instrumentation</t>
        </is>
      </c>
      <c r="J5169" s="12" t="inlineStr">
        <is>
          <t>Instrumentation PLTC / TC-ER 300 V, #18 twisted shielded pairs, overall shield</t>
        </is>
      </c>
      <c r="K5169" s="12" t="inlineStr">
        <is>
          <t>PLTC|24 pr|18</t>
        </is>
      </c>
      <c r="L5169" s="12" t="inlineStr">
        <is>
          <t>24 pr</t>
        </is>
      </c>
      <c r="M5169" s="12" t="inlineStr">
        <is>
          <t>18</t>
        </is>
      </c>
      <c r="N5169" s="12" t="n">
        <v>1</v>
      </c>
      <c r="O5169" s="12" t="n">
        <v>1</v>
      </c>
      <c r="P5169" s="12" t="n"/>
      <c r="Q5169" s="12" t="n"/>
      <c r="R5169" s="12" t="n"/>
      <c r="S5169" s="12" t="inlineStr">
        <is>
          <t>Duct bank</t>
        </is>
      </c>
      <c r="T5169" s="15" t="n">
        <v>435</v>
      </c>
      <c r="U5169" s="15" t="n">
        <v>39</v>
      </c>
      <c r="V5169" s="15">
        <f>ROUNDUP((T5169+U5169+2*'Read Me'!$B$13)*(1+'Read Me'!$B$12),-1)</f>
        <v/>
      </c>
      <c r="W5169" s="15">
        <f>V5169*N5169*O5169</f>
        <v/>
      </c>
      <c r="X5169" s="12">
        <f>IF(LEFT(I5169,2)="MV",2*N5169*IF(L5169="1/C",O5169,1),0)</f>
        <v/>
      </c>
      <c r="Y5169" s="12">
        <f>IF(OR(LEFT(K5169,4)="LVAX",LEFT(K5169,6)="MV15AX",LEFT(K5169,4)="CTAX",LEFT(K5169,2)="W|"),2*N5169*O5169,0)</f>
        <v/>
      </c>
      <c r="Z5169" s="12" t="inlineStr"/>
      <c r="AA5169" s="12">
        <f>N5169*O5169</f>
        <v/>
      </c>
    </row>
    <row r="5170">
      <c r="A5170" s="12" t="inlineStr">
        <is>
          <t>I-I-0556</t>
        </is>
      </c>
      <c r="B5170" s="12" t="inlineStr">
        <is>
          <t>I</t>
        </is>
      </c>
      <c r="C5170" s="12" t="inlineStr">
        <is>
          <t>Modular / portable power</t>
        </is>
      </c>
      <c r="D5170" s="12" t="inlineStr">
        <is>
          <t>Discrete device to JB JB-TM-1-DI02: 20 x 1 pr (field cables)</t>
        </is>
      </c>
      <c r="E5170" s="12" t="inlineStr">
        <is>
          <t>TM-1</t>
        </is>
      </c>
      <c r="F5170" s="12" t="inlineStr">
        <is>
          <t>TM-1: trailer-mounted aeroderivative GT (~35 MW)</t>
        </is>
      </c>
      <c r="G5170" s="12" t="inlineStr">
        <is>
          <t>JB-TM-1-DI02</t>
        </is>
      </c>
      <c r="H5170" s="12" t="inlineStr">
        <is>
          <t>TM-1: trailer-mounted aeroderivative GT (~35 MW)</t>
        </is>
      </c>
      <c r="I5170" s="12" t="inlineStr">
        <is>
          <t>Instrumentation</t>
        </is>
      </c>
      <c r="J5170" s="12" t="inlineStr">
        <is>
          <t>Instrumentation PLTC / TC-ER 300 V, #18 twisted shielded pairs, overall shield</t>
        </is>
      </c>
      <c r="K5170" s="12" t="inlineStr">
        <is>
          <t>PLTC|1 pr|16</t>
        </is>
      </c>
      <c r="L5170" s="12" t="inlineStr">
        <is>
          <t>1 pr</t>
        </is>
      </c>
      <c r="M5170" s="12" t="inlineStr">
        <is>
          <t>16</t>
        </is>
      </c>
      <c r="N5170" s="12" t="n">
        <v>20</v>
      </c>
      <c r="O5170" s="12" t="n">
        <v>1</v>
      </c>
      <c r="P5170" s="12" t="n"/>
      <c r="Q5170" s="12" t="n"/>
      <c r="R5170" s="12" t="n"/>
      <c r="S5170" s="12" t="inlineStr">
        <is>
          <t>Tray / conduit</t>
        </is>
      </c>
      <c r="T5170" s="15" t="n">
        <v>108</v>
      </c>
      <c r="U5170" s="15" t="n">
        <v>10</v>
      </c>
      <c r="V5170" s="15">
        <f>ROUNDUP((T5170+U5170+2*'Read Me'!$B$13)*(1+'Read Me'!$B$12),-1)</f>
        <v/>
      </c>
      <c r="W5170" s="15">
        <f>V5170*N5170*O5170</f>
        <v/>
      </c>
      <c r="X5170" s="12">
        <f>IF(LEFT(I5170,2)="MV",2*N5170*IF(L5170="1/C",O5170,1),0)</f>
        <v/>
      </c>
      <c r="Y5170" s="12">
        <f>IF(OR(LEFT(K5170,4)="LVAX",LEFT(K5170,6)="MV15AX",LEFT(K5170,4)="CTAX",LEFT(K5170,2)="W|"),2*N5170*O5170,0)</f>
        <v/>
      </c>
      <c r="Z5170" s="12" t="inlineStr">
        <is>
          <t>device-to-JB field wiring, one cable per device</t>
        </is>
      </c>
      <c r="AA5170" s="12">
        <f>N5170*O5170</f>
        <v/>
      </c>
    </row>
    <row r="5171">
      <c r="A5171" s="12" t="inlineStr">
        <is>
          <t>I-I-0557</t>
        </is>
      </c>
      <c r="B5171" s="12" t="inlineStr">
        <is>
          <t>I</t>
        </is>
      </c>
      <c r="C5171" s="12" t="inlineStr">
        <is>
          <t>Modular / portable power</t>
        </is>
      </c>
      <c r="D5171" s="12" t="inlineStr">
        <is>
          <t>Home run JB-TM-1-DI02 to the control / marshalling room</t>
        </is>
      </c>
      <c r="E5171" s="12" t="inlineStr">
        <is>
          <t>PAD-EH</t>
        </is>
      </c>
      <c r="F5171" s="12" t="inlineStr">
        <is>
          <t>PAD-EH 13.8 kV switchgear e-house</t>
        </is>
      </c>
      <c r="G5171" s="12" t="inlineStr">
        <is>
          <t>JB-TM-1-DI02</t>
        </is>
      </c>
      <c r="H5171" s="12" t="inlineStr">
        <is>
          <t>TM-1: trailer-mounted aeroderivative GT (~35 MW)</t>
        </is>
      </c>
      <c r="I5171" s="12" t="inlineStr">
        <is>
          <t>Instrumentation</t>
        </is>
      </c>
      <c r="J5171" s="12" t="inlineStr">
        <is>
          <t>Instrumentation PLTC / TC-ER 300 V, #18 twisted shielded pairs, overall shield</t>
        </is>
      </c>
      <c r="K5171" s="12" t="inlineStr">
        <is>
          <t>PLTC|24 pr|18</t>
        </is>
      </c>
      <c r="L5171" s="12" t="inlineStr">
        <is>
          <t>24 pr</t>
        </is>
      </c>
      <c r="M5171" s="12" t="inlineStr">
        <is>
          <t>18</t>
        </is>
      </c>
      <c r="N5171" s="12" t="n">
        <v>1</v>
      </c>
      <c r="O5171" s="12" t="n">
        <v>1</v>
      </c>
      <c r="P5171" s="12" t="n"/>
      <c r="Q5171" s="12" t="n"/>
      <c r="R5171" s="12" t="n"/>
      <c r="S5171" s="12" t="inlineStr">
        <is>
          <t>Duct bank</t>
        </is>
      </c>
      <c r="T5171" s="15" t="n">
        <v>435</v>
      </c>
      <c r="U5171" s="15" t="n">
        <v>39</v>
      </c>
      <c r="V5171" s="15">
        <f>ROUNDUP((T5171+U5171+2*'Read Me'!$B$13)*(1+'Read Me'!$B$12),-1)</f>
        <v/>
      </c>
      <c r="W5171" s="15">
        <f>V5171*N5171*O5171</f>
        <v/>
      </c>
      <c r="X5171" s="12">
        <f>IF(LEFT(I5171,2)="MV",2*N5171*IF(L5171="1/C",O5171,1),0)</f>
        <v/>
      </c>
      <c r="Y5171" s="12">
        <f>IF(OR(LEFT(K5171,4)="LVAX",LEFT(K5171,6)="MV15AX",LEFT(K5171,4)="CTAX",LEFT(K5171,2)="W|"),2*N5171*O5171,0)</f>
        <v/>
      </c>
      <c r="Z5171" s="12" t="inlineStr"/>
      <c r="AA5171" s="12">
        <f>N5171*O5171</f>
        <v/>
      </c>
    </row>
    <row r="5172">
      <c r="A5172" s="12" t="inlineStr">
        <is>
          <t>I-I-0558</t>
        </is>
      </c>
      <c r="B5172" s="12" t="inlineStr">
        <is>
          <t>I</t>
        </is>
      </c>
      <c r="C5172" s="12" t="inlineStr">
        <is>
          <t>Modular / portable power</t>
        </is>
      </c>
      <c r="D5172" s="12" t="inlineStr">
        <is>
          <t>Discrete device to JB JB-TM-1-DI03: 20 x 1 pr (field cables)</t>
        </is>
      </c>
      <c r="E5172" s="12" t="inlineStr">
        <is>
          <t>TM-1</t>
        </is>
      </c>
      <c r="F5172" s="12" t="inlineStr">
        <is>
          <t>TM-1: trailer-mounted aeroderivative GT (~35 MW)</t>
        </is>
      </c>
      <c r="G5172" s="12" t="inlineStr">
        <is>
          <t>JB-TM-1-DI03</t>
        </is>
      </c>
      <c r="H5172" s="12" t="inlineStr">
        <is>
          <t>TM-1: trailer-mounted aeroderivative GT (~35 MW)</t>
        </is>
      </c>
      <c r="I5172" s="12" t="inlineStr">
        <is>
          <t>Instrumentation</t>
        </is>
      </c>
      <c r="J5172" s="12" t="inlineStr">
        <is>
          <t>Instrumentation PLTC / TC-ER 300 V, #18 twisted shielded pairs, overall shield</t>
        </is>
      </c>
      <c r="K5172" s="12" t="inlineStr">
        <is>
          <t>PLTC|1 pr|16</t>
        </is>
      </c>
      <c r="L5172" s="12" t="inlineStr">
        <is>
          <t>1 pr</t>
        </is>
      </c>
      <c r="M5172" s="12" t="inlineStr">
        <is>
          <t>16</t>
        </is>
      </c>
      <c r="N5172" s="12" t="n">
        <v>20</v>
      </c>
      <c r="O5172" s="12" t="n">
        <v>1</v>
      </c>
      <c r="P5172" s="12" t="n"/>
      <c r="Q5172" s="12" t="n"/>
      <c r="R5172" s="12" t="n"/>
      <c r="S5172" s="12" t="inlineStr">
        <is>
          <t>Tray / conduit</t>
        </is>
      </c>
      <c r="T5172" s="15" t="n">
        <v>108</v>
      </c>
      <c r="U5172" s="15" t="n">
        <v>10</v>
      </c>
      <c r="V5172" s="15">
        <f>ROUNDUP((T5172+U5172+2*'Read Me'!$B$13)*(1+'Read Me'!$B$12),-1)</f>
        <v/>
      </c>
      <c r="W5172" s="15">
        <f>V5172*N5172*O5172</f>
        <v/>
      </c>
      <c r="X5172" s="12">
        <f>IF(LEFT(I5172,2)="MV",2*N5172*IF(L5172="1/C",O5172,1),0)</f>
        <v/>
      </c>
      <c r="Y5172" s="12">
        <f>IF(OR(LEFT(K5172,4)="LVAX",LEFT(K5172,6)="MV15AX",LEFT(K5172,4)="CTAX",LEFT(K5172,2)="W|"),2*N5172*O5172,0)</f>
        <v/>
      </c>
      <c r="Z5172" s="12" t="inlineStr">
        <is>
          <t>device-to-JB field wiring, one cable per device</t>
        </is>
      </c>
      <c r="AA5172" s="12">
        <f>N5172*O5172</f>
        <v/>
      </c>
    </row>
    <row r="5173">
      <c r="A5173" s="12" t="inlineStr">
        <is>
          <t>I-I-0559</t>
        </is>
      </c>
      <c r="B5173" s="12" t="inlineStr">
        <is>
          <t>I</t>
        </is>
      </c>
      <c r="C5173" s="12" t="inlineStr">
        <is>
          <t>Modular / portable power</t>
        </is>
      </c>
      <c r="D5173" s="12" t="inlineStr">
        <is>
          <t>Home run JB-TM-1-DI03 to the control / marshalling room</t>
        </is>
      </c>
      <c r="E5173" s="12" t="inlineStr">
        <is>
          <t>PAD-EH</t>
        </is>
      </c>
      <c r="F5173" s="12" t="inlineStr">
        <is>
          <t>PAD-EH 13.8 kV switchgear e-house</t>
        </is>
      </c>
      <c r="G5173" s="12" t="inlineStr">
        <is>
          <t>JB-TM-1-DI03</t>
        </is>
      </c>
      <c r="H5173" s="12" t="inlineStr">
        <is>
          <t>TM-1: trailer-mounted aeroderivative GT (~35 MW)</t>
        </is>
      </c>
      <c r="I5173" s="12" t="inlineStr">
        <is>
          <t>Instrumentation</t>
        </is>
      </c>
      <c r="J5173" s="12" t="inlineStr">
        <is>
          <t>Instrumentation PLTC / TC-ER 300 V, #18 twisted shielded pairs, overall shield</t>
        </is>
      </c>
      <c r="K5173" s="12" t="inlineStr">
        <is>
          <t>PLTC|24 pr|18</t>
        </is>
      </c>
      <c r="L5173" s="12" t="inlineStr">
        <is>
          <t>24 pr</t>
        </is>
      </c>
      <c r="M5173" s="12" t="inlineStr">
        <is>
          <t>18</t>
        </is>
      </c>
      <c r="N5173" s="12" t="n">
        <v>1</v>
      </c>
      <c r="O5173" s="12" t="n">
        <v>1</v>
      </c>
      <c r="P5173" s="12" t="n"/>
      <c r="Q5173" s="12" t="n"/>
      <c r="R5173" s="12" t="n"/>
      <c r="S5173" s="12" t="inlineStr">
        <is>
          <t>Duct bank</t>
        </is>
      </c>
      <c r="T5173" s="15" t="n">
        <v>435</v>
      </c>
      <c r="U5173" s="15" t="n">
        <v>39</v>
      </c>
      <c r="V5173" s="15">
        <f>ROUNDUP((T5173+U5173+2*'Read Me'!$B$13)*(1+'Read Me'!$B$12),-1)</f>
        <v/>
      </c>
      <c r="W5173" s="15">
        <f>V5173*N5173*O5173</f>
        <v/>
      </c>
      <c r="X5173" s="12">
        <f>IF(LEFT(I5173,2)="MV",2*N5173*IF(L5173="1/C",O5173,1),0)</f>
        <v/>
      </c>
      <c r="Y5173" s="12">
        <f>IF(OR(LEFT(K5173,4)="LVAX",LEFT(K5173,6)="MV15AX",LEFT(K5173,4)="CTAX",LEFT(K5173,2)="W|"),2*N5173*O5173,0)</f>
        <v/>
      </c>
      <c r="Z5173" s="12" t="inlineStr"/>
      <c r="AA5173" s="12">
        <f>N5173*O5173</f>
        <v/>
      </c>
    </row>
    <row r="5174">
      <c r="A5174" s="12" t="inlineStr">
        <is>
          <t>I-I-0560</t>
        </is>
      </c>
      <c r="B5174" s="12" t="inlineStr">
        <is>
          <t>I</t>
        </is>
      </c>
      <c r="C5174" s="12" t="inlineStr">
        <is>
          <t>Modular / portable power</t>
        </is>
      </c>
      <c r="D5174" s="12" t="inlineStr">
        <is>
          <t>Thermocouple to TC JB JB-TM-1-TC01: 20 x 1 pr (field cables)</t>
        </is>
      </c>
      <c r="E5174" s="12" t="inlineStr">
        <is>
          <t>TM-1</t>
        </is>
      </c>
      <c r="F5174" s="12" t="inlineStr">
        <is>
          <t>TM-1: trailer-mounted aeroderivative GT (~35 MW)</t>
        </is>
      </c>
      <c r="G5174" s="12" t="inlineStr">
        <is>
          <t>JB-TM-1-TC01</t>
        </is>
      </c>
      <c r="H5174" s="12" t="inlineStr">
        <is>
          <t>TM-1: trailer-mounted aeroderivative GT (~35 MW)</t>
        </is>
      </c>
      <c r="I5174" s="12" t="inlineStr">
        <is>
          <t>Instrumentation</t>
        </is>
      </c>
      <c r="J5174" s="12" t="inlineStr">
        <is>
          <t>Thermocouple extension KX, #16 shielded pairs, PLTC</t>
        </is>
      </c>
      <c r="K5174" s="12" t="inlineStr">
        <is>
          <t>TCX|1 pr|16</t>
        </is>
      </c>
      <c r="L5174" s="12" t="inlineStr">
        <is>
          <t>1 pr</t>
        </is>
      </c>
      <c r="M5174" s="12" t="inlineStr">
        <is>
          <t>16</t>
        </is>
      </c>
      <c r="N5174" s="12" t="n">
        <v>20</v>
      </c>
      <c r="O5174" s="12" t="n">
        <v>1</v>
      </c>
      <c r="P5174" s="12" t="n"/>
      <c r="Q5174" s="12" t="n"/>
      <c r="R5174" s="12" t="n"/>
      <c r="S5174" s="12" t="inlineStr">
        <is>
          <t>Tray / conduit</t>
        </is>
      </c>
      <c r="T5174" s="15" t="n">
        <v>108</v>
      </c>
      <c r="U5174" s="15" t="n">
        <v>10</v>
      </c>
      <c r="V5174" s="15">
        <f>ROUNDUP((T5174+U5174+2*'Read Me'!$B$13)*(1+'Read Me'!$B$12),-1)</f>
        <v/>
      </c>
      <c r="W5174" s="15">
        <f>V5174*N5174*O5174</f>
        <v/>
      </c>
      <c r="X5174" s="12">
        <f>IF(LEFT(I5174,2)="MV",2*N5174*IF(L5174="1/C",O5174,1),0)</f>
        <v/>
      </c>
      <c r="Y5174" s="12">
        <f>IF(OR(LEFT(K5174,4)="LVAX",LEFT(K5174,6)="MV15AX",LEFT(K5174,4)="CTAX",LEFT(K5174,2)="W|"),2*N5174*O5174,0)</f>
        <v/>
      </c>
      <c r="Z5174" s="12" t="inlineStr">
        <is>
          <t>device-to-JB field wiring, one cable per device</t>
        </is>
      </c>
      <c r="AA5174" s="12">
        <f>N5174*O5174</f>
        <v/>
      </c>
    </row>
    <row r="5175">
      <c r="A5175" s="12" t="inlineStr">
        <is>
          <t>I-I-0561</t>
        </is>
      </c>
      <c r="B5175" s="12" t="inlineStr">
        <is>
          <t>I</t>
        </is>
      </c>
      <c r="C5175" s="12" t="inlineStr">
        <is>
          <t>Modular / portable power</t>
        </is>
      </c>
      <c r="D5175" s="12" t="inlineStr">
        <is>
          <t>Home run JB-TM-1-TC01 to the control / marshalling room</t>
        </is>
      </c>
      <c r="E5175" s="12" t="inlineStr">
        <is>
          <t>PAD-EH</t>
        </is>
      </c>
      <c r="F5175" s="12" t="inlineStr">
        <is>
          <t>PAD-EH 13.8 kV switchgear e-house</t>
        </is>
      </c>
      <c r="G5175" s="12" t="inlineStr">
        <is>
          <t>JB-TM-1-TC01</t>
        </is>
      </c>
      <c r="H5175" s="12" t="inlineStr">
        <is>
          <t>TM-1: trailer-mounted aeroderivative GT (~35 MW)</t>
        </is>
      </c>
      <c r="I5175" s="12" t="inlineStr">
        <is>
          <t>Instrumentation</t>
        </is>
      </c>
      <c r="J5175" s="12" t="inlineStr">
        <is>
          <t>Thermocouple extension KX, #16 shielded pairs, PLTC</t>
        </is>
      </c>
      <c r="K5175" s="12" t="inlineStr">
        <is>
          <t>TCX|24 pr|16</t>
        </is>
      </c>
      <c r="L5175" s="12" t="inlineStr">
        <is>
          <t>24 pr</t>
        </is>
      </c>
      <c r="M5175" s="12" t="inlineStr">
        <is>
          <t>16</t>
        </is>
      </c>
      <c r="N5175" s="12" t="n">
        <v>1</v>
      </c>
      <c r="O5175" s="12" t="n">
        <v>1</v>
      </c>
      <c r="P5175" s="12" t="n"/>
      <c r="Q5175" s="12" t="n"/>
      <c r="R5175" s="12" t="n"/>
      <c r="S5175" s="12" t="inlineStr">
        <is>
          <t>Duct bank</t>
        </is>
      </c>
      <c r="T5175" s="15" t="n">
        <v>435</v>
      </c>
      <c r="U5175" s="15" t="n">
        <v>39</v>
      </c>
      <c r="V5175" s="15">
        <f>ROUNDUP((T5175+U5175+2*'Read Me'!$B$13)*(1+'Read Me'!$B$12),-1)</f>
        <v/>
      </c>
      <c r="W5175" s="15">
        <f>V5175*N5175*O5175</f>
        <v/>
      </c>
      <c r="X5175" s="12">
        <f>IF(LEFT(I5175,2)="MV",2*N5175*IF(L5175="1/C",O5175,1),0)</f>
        <v/>
      </c>
      <c r="Y5175" s="12">
        <f>IF(OR(LEFT(K5175,4)="LVAX",LEFT(K5175,6)="MV15AX",LEFT(K5175,4)="CTAX",LEFT(K5175,2)="W|"),2*N5175*O5175,0)</f>
        <v/>
      </c>
      <c r="Z5175" s="12" t="inlineStr"/>
      <c r="AA5175" s="12">
        <f>N5175*O5175</f>
        <v/>
      </c>
    </row>
    <row r="5176">
      <c r="A5176" s="12" t="inlineStr">
        <is>
          <t>I-I-0562</t>
        </is>
      </c>
      <c r="B5176" s="12" t="inlineStr">
        <is>
          <t>I</t>
        </is>
      </c>
      <c r="C5176" s="12" t="inlineStr">
        <is>
          <t>Modular / portable power</t>
        </is>
      </c>
      <c r="D5176" s="12" t="inlineStr">
        <is>
          <t>Analog instrument to JB JB-Water-injection sk-AI01: 10 x 1 pr (field cables)</t>
        </is>
      </c>
      <c r="E5176" s="12" t="inlineStr"/>
      <c r="F5176" s="12" t="inlineStr">
        <is>
          <t>Water-injection skid</t>
        </is>
      </c>
      <c r="G5176" s="12" t="inlineStr">
        <is>
          <t>JB-Water-injection sk-AI01</t>
        </is>
      </c>
      <c r="H5176" s="12" t="inlineStr">
        <is>
          <t>Water-injection skid</t>
        </is>
      </c>
      <c r="I5176" s="12" t="inlineStr">
        <is>
          <t>Instrumentation</t>
        </is>
      </c>
      <c r="J5176" s="12" t="inlineStr">
        <is>
          <t>Instrumentation PLTC / TC-ER 300 V, #18 twisted shielded pairs, overall shield</t>
        </is>
      </c>
      <c r="K5176" s="12" t="inlineStr">
        <is>
          <t>PLTC|1 pr|16</t>
        </is>
      </c>
      <c r="L5176" s="12" t="inlineStr">
        <is>
          <t>1 pr</t>
        </is>
      </c>
      <c r="M5176" s="12" t="inlineStr">
        <is>
          <t>16</t>
        </is>
      </c>
      <c r="N5176" s="12" t="n">
        <v>10</v>
      </c>
      <c r="O5176" s="12" t="n">
        <v>1</v>
      </c>
      <c r="P5176" s="12" t="n"/>
      <c r="Q5176" s="12" t="n"/>
      <c r="R5176" s="12" t="n"/>
      <c r="S5176" s="12" t="inlineStr">
        <is>
          <t>Tray / conduit</t>
        </is>
      </c>
      <c r="T5176" s="15" t="n">
        <v>43</v>
      </c>
      <c r="U5176" s="15" t="n">
        <v>10</v>
      </c>
      <c r="V5176" s="15">
        <f>ROUNDUP((T5176+U5176+2*'Read Me'!$B$13)*(1+'Read Me'!$B$12),-1)</f>
        <v/>
      </c>
      <c r="W5176" s="15">
        <f>V5176*N5176*O5176</f>
        <v/>
      </c>
      <c r="X5176" s="12">
        <f>IF(LEFT(I5176,2)="MV",2*N5176*IF(L5176="1/C",O5176,1),0)</f>
        <v/>
      </c>
      <c r="Y5176" s="12">
        <f>IF(OR(LEFT(K5176,4)="LVAX",LEFT(K5176,6)="MV15AX",LEFT(K5176,4)="CTAX",LEFT(K5176,2)="W|"),2*N5176*O5176,0)</f>
        <v/>
      </c>
      <c r="Z5176" s="12" t="inlineStr">
        <is>
          <t>device-to-JB field wiring, one cable per device</t>
        </is>
      </c>
      <c r="AA5176" s="12">
        <f>N5176*O5176</f>
        <v/>
      </c>
    </row>
    <row r="5177">
      <c r="A5177" s="12" t="inlineStr">
        <is>
          <t>I-I-0563</t>
        </is>
      </c>
      <c r="B5177" s="12" t="inlineStr">
        <is>
          <t>I</t>
        </is>
      </c>
      <c r="C5177" s="12" t="inlineStr">
        <is>
          <t>Modular / portable power</t>
        </is>
      </c>
      <c r="D5177" s="12" t="inlineStr">
        <is>
          <t>Home run JB-Water-injection sk-AI01 to the control / marshalling room</t>
        </is>
      </c>
      <c r="E5177" s="12" t="inlineStr"/>
      <c r="F5177" s="12" t="inlineStr">
        <is>
          <t>SC-2 PCM + 15 kV GCB</t>
        </is>
      </c>
      <c r="G5177" s="12" t="inlineStr">
        <is>
          <t>JB-Water-injection sk-AI01</t>
        </is>
      </c>
      <c r="H5177" s="12" t="inlineStr">
        <is>
          <t>Water-injection skid</t>
        </is>
      </c>
      <c r="I5177" s="12" t="inlineStr">
        <is>
          <t>Instrumentation</t>
        </is>
      </c>
      <c r="J5177" s="12" t="inlineStr">
        <is>
          <t>Instrumentation PLTC / TC-ER 300 V, #18 twisted shielded pairs, overall shield</t>
        </is>
      </c>
      <c r="K5177" s="12" t="inlineStr">
        <is>
          <t>PLTC|24 pr|18</t>
        </is>
      </c>
      <c r="L5177" s="12" t="inlineStr">
        <is>
          <t>24 pr</t>
        </is>
      </c>
      <c r="M5177" s="12" t="inlineStr">
        <is>
          <t>18</t>
        </is>
      </c>
      <c r="N5177" s="12" t="n">
        <v>1</v>
      </c>
      <c r="O5177" s="12" t="n">
        <v>1</v>
      </c>
      <c r="P5177" s="12" t="n"/>
      <c r="Q5177" s="12" t="n"/>
      <c r="R5177" s="12" t="n"/>
      <c r="S5177" s="12" t="inlineStr">
        <is>
          <t>Duct bank</t>
        </is>
      </c>
      <c r="T5177" s="15" t="n">
        <v>0</v>
      </c>
      <c r="U5177" s="15" t="n">
        <v>60</v>
      </c>
      <c r="V5177" s="15">
        <f>ROUNDUP((T5177+U5177+2*'Read Me'!$B$13)*(1+'Read Me'!$B$12),-1)</f>
        <v/>
      </c>
      <c r="W5177" s="15">
        <f>V5177*N5177*O5177</f>
        <v/>
      </c>
      <c r="X5177" s="12">
        <f>IF(LEFT(I5177,2)="MV",2*N5177*IF(L5177="1/C",O5177,1),0)</f>
        <v/>
      </c>
      <c r="Y5177" s="12">
        <f>IF(OR(LEFT(K5177,4)="LVAX",LEFT(K5177,6)="MV15AX",LEFT(K5177,4)="CTAX",LEFT(K5177,2)="W|"),2*N5177*O5177,0)</f>
        <v/>
      </c>
      <c r="Z5177" s="12" t="inlineStr"/>
      <c r="AA5177" s="12">
        <f>N5177*O5177</f>
        <v/>
      </c>
    </row>
    <row r="5178">
      <c r="A5178" s="12" t="inlineStr">
        <is>
          <t>I-I-0564</t>
        </is>
      </c>
      <c r="B5178" s="12" t="inlineStr">
        <is>
          <t>I</t>
        </is>
      </c>
      <c r="C5178" s="12" t="inlineStr">
        <is>
          <t>Modular / portable power</t>
        </is>
      </c>
      <c r="D5178" s="12" t="inlineStr">
        <is>
          <t>Discrete device to JB JB-Water-injection sk-DI01: 10 x 1 pr (field cables)</t>
        </is>
      </c>
      <c r="E5178" s="12" t="inlineStr"/>
      <c r="F5178" s="12" t="inlineStr">
        <is>
          <t>Water-injection skid</t>
        </is>
      </c>
      <c r="G5178" s="12" t="inlineStr">
        <is>
          <t>JB-Water-injection sk-DI01</t>
        </is>
      </c>
      <c r="H5178" s="12" t="inlineStr">
        <is>
          <t>Water-injection skid</t>
        </is>
      </c>
      <c r="I5178" s="12" t="inlineStr">
        <is>
          <t>Instrumentation</t>
        </is>
      </c>
      <c r="J5178" s="12" t="inlineStr">
        <is>
          <t>Instrumentation PLTC / TC-ER 300 V, #18 twisted shielded pairs, overall shield</t>
        </is>
      </c>
      <c r="K5178" s="12" t="inlineStr">
        <is>
          <t>PLTC|1 pr|16</t>
        </is>
      </c>
      <c r="L5178" s="12" t="inlineStr">
        <is>
          <t>1 pr</t>
        </is>
      </c>
      <c r="M5178" s="12" t="inlineStr">
        <is>
          <t>16</t>
        </is>
      </c>
      <c r="N5178" s="12" t="n">
        <v>10</v>
      </c>
      <c r="O5178" s="12" t="n">
        <v>1</v>
      </c>
      <c r="P5178" s="12" t="n"/>
      <c r="Q5178" s="12" t="n"/>
      <c r="R5178" s="12" t="n"/>
      <c r="S5178" s="12" t="inlineStr">
        <is>
          <t>Tray / conduit</t>
        </is>
      </c>
      <c r="T5178" s="15" t="n">
        <v>43</v>
      </c>
      <c r="U5178" s="15" t="n">
        <v>10</v>
      </c>
      <c r="V5178" s="15">
        <f>ROUNDUP((T5178+U5178+2*'Read Me'!$B$13)*(1+'Read Me'!$B$12),-1)</f>
        <v/>
      </c>
      <c r="W5178" s="15">
        <f>V5178*N5178*O5178</f>
        <v/>
      </c>
      <c r="X5178" s="12">
        <f>IF(LEFT(I5178,2)="MV",2*N5178*IF(L5178="1/C",O5178,1),0)</f>
        <v/>
      </c>
      <c r="Y5178" s="12">
        <f>IF(OR(LEFT(K5178,4)="LVAX",LEFT(K5178,6)="MV15AX",LEFT(K5178,4)="CTAX",LEFT(K5178,2)="W|"),2*N5178*O5178,0)</f>
        <v/>
      </c>
      <c r="Z5178" s="12" t="inlineStr">
        <is>
          <t>device-to-JB field wiring, one cable per device</t>
        </is>
      </c>
      <c r="AA5178" s="12">
        <f>N5178*O5178</f>
        <v/>
      </c>
    </row>
    <row r="5179">
      <c r="A5179" s="12" t="inlineStr">
        <is>
          <t>I-I-0565</t>
        </is>
      </c>
      <c r="B5179" s="12" t="inlineStr">
        <is>
          <t>I</t>
        </is>
      </c>
      <c r="C5179" s="12" t="inlineStr">
        <is>
          <t>Modular / portable power</t>
        </is>
      </c>
      <c r="D5179" s="12" t="inlineStr">
        <is>
          <t>Home run JB-Water-injection sk-DI01 to the control / marshalling room</t>
        </is>
      </c>
      <c r="E5179" s="12" t="inlineStr"/>
      <c r="F5179" s="12" t="inlineStr">
        <is>
          <t>SC-2 PCM + 15 kV GCB</t>
        </is>
      </c>
      <c r="G5179" s="12" t="inlineStr">
        <is>
          <t>JB-Water-injection sk-DI01</t>
        </is>
      </c>
      <c r="H5179" s="12" t="inlineStr">
        <is>
          <t>Water-injection skid</t>
        </is>
      </c>
      <c r="I5179" s="12" t="inlineStr">
        <is>
          <t>Instrumentation</t>
        </is>
      </c>
      <c r="J5179" s="12" t="inlineStr">
        <is>
          <t>Instrumentation PLTC / TC-ER 300 V, #18 twisted shielded pairs, overall shield</t>
        </is>
      </c>
      <c r="K5179" s="12" t="inlineStr">
        <is>
          <t>PLTC|24 pr|18</t>
        </is>
      </c>
      <c r="L5179" s="12" t="inlineStr">
        <is>
          <t>24 pr</t>
        </is>
      </c>
      <c r="M5179" s="12" t="inlineStr">
        <is>
          <t>18</t>
        </is>
      </c>
      <c r="N5179" s="12" t="n">
        <v>1</v>
      </c>
      <c r="O5179" s="12" t="n">
        <v>1</v>
      </c>
      <c r="P5179" s="12" t="n"/>
      <c r="Q5179" s="12" t="n"/>
      <c r="R5179" s="12" t="n"/>
      <c r="S5179" s="12" t="inlineStr">
        <is>
          <t>Duct bank</t>
        </is>
      </c>
      <c r="T5179" s="15" t="n">
        <v>0</v>
      </c>
      <c r="U5179" s="15" t="n">
        <v>60</v>
      </c>
      <c r="V5179" s="15">
        <f>ROUNDUP((T5179+U5179+2*'Read Me'!$B$13)*(1+'Read Me'!$B$12),-1)</f>
        <v/>
      </c>
      <c r="W5179" s="15">
        <f>V5179*N5179*O5179</f>
        <v/>
      </c>
      <c r="X5179" s="12">
        <f>IF(LEFT(I5179,2)="MV",2*N5179*IF(L5179="1/C",O5179,1),0)</f>
        <v/>
      </c>
      <c r="Y5179" s="12">
        <f>IF(OR(LEFT(K5179,4)="LVAX",LEFT(K5179,6)="MV15AX",LEFT(K5179,4)="CTAX",LEFT(K5179,2)="W|"),2*N5179*O5179,0)</f>
        <v/>
      </c>
      <c r="Z5179" s="12" t="inlineStr"/>
      <c r="AA5179" s="12">
        <f>N5179*O5179</f>
        <v/>
      </c>
    </row>
    <row r="5180">
      <c r="A5180" s="12" t="inlineStr">
        <is>
          <t>I-P-0001</t>
        </is>
      </c>
      <c r="B5180" s="12" t="inlineStr">
        <is>
          <t>I</t>
        </is>
      </c>
      <c r="C5180" s="12" t="inlineStr">
        <is>
          <t>Modular / portable power</t>
        </is>
      </c>
      <c r="D5180" s="12" t="inlineStr">
        <is>
          <t>AX-1 package auxiliaries 480 V (from the unit auxiliary transformer in the control module)</t>
        </is>
      </c>
      <c r="E5180" s="12" t="inlineStr">
        <is>
          <t>AX-1</t>
        </is>
      </c>
      <c r="F5180" s="12" t="inlineStr">
        <is>
          <t>AX-1: compact modular aeroderivative installation, ~35 MW class (~35 M</t>
        </is>
      </c>
      <c r="G5180" s="12" t="inlineStr">
        <is>
          <t>AX-1</t>
        </is>
      </c>
      <c r="H5180" s="12" t="inlineStr">
        <is>
          <t>AX-1: compact modular aeroderivative installation, ~35 MW class (~35 M</t>
        </is>
      </c>
      <c r="I5180" s="12" t="inlineStr">
        <is>
          <t>LV 600 V</t>
        </is>
      </c>
      <c r="J5180" s="12" t="inlineStr">
        <is>
          <t>Type TC-ER 600 V 3/C Cu XHHW-2 + ground, PVC jacket</t>
        </is>
      </c>
      <c r="K5180" s="12" t="inlineStr">
        <is>
          <t>LV|3/C+G|500</t>
        </is>
      </c>
      <c r="L5180" s="12" t="inlineStr">
        <is>
          <t>3/C+G</t>
        </is>
      </c>
      <c r="M5180" s="12" t="inlineStr">
        <is>
          <t>500 kcmil</t>
        </is>
      </c>
      <c r="N5180" s="12" t="n">
        <v>2</v>
      </c>
      <c r="O5180" s="12" t="n">
        <v>1</v>
      </c>
      <c r="P5180" s="12" t="n">
        <v>480</v>
      </c>
      <c r="Q5180" s="12" t="n">
        <v>400</v>
      </c>
      <c r="R5180" s="12" t="n">
        <v>510</v>
      </c>
      <c r="S5180" s="12" t="inlineStr">
        <is>
          <t>Tray</t>
        </is>
      </c>
      <c r="T5180" s="15" t="n">
        <v>120</v>
      </c>
      <c r="U5180" s="15" t="n">
        <v>10</v>
      </c>
      <c r="V5180" s="15">
        <f>ROUNDUP((T5180+U5180+2*'Read Me'!$B$13)*(1+'Read Me'!$B$12),-1)</f>
        <v/>
      </c>
      <c r="W5180" s="15">
        <f>V5180*N5180*O5180</f>
        <v/>
      </c>
      <c r="X5180" s="12">
        <f>IF(LEFT(I5180,2)="MV",2*N5180*IF(L5180="1/C",O5180,1),0)</f>
        <v/>
      </c>
      <c r="Y5180" s="12">
        <f>IF(OR(LEFT(K5180,4)="LVAX",LEFT(K5180,6)="MV15AX",LEFT(K5180,4)="CTAX",LEFT(K5180,2)="W|"),2*N5180*O5180,0)</f>
        <v/>
      </c>
      <c r="Z5180" s="12" t="inlineStr">
        <is>
          <t>internal to the package</t>
        </is>
      </c>
      <c r="AA5180" s="12">
        <f>N5180*O5180</f>
        <v/>
      </c>
    </row>
    <row r="5181">
      <c r="A5181" s="12" t="inlineStr">
        <is>
          <t>I-P-0002</t>
        </is>
      </c>
      <c r="B5181" s="12" t="inlineStr">
        <is>
          <t>I</t>
        </is>
      </c>
      <c r="C5181" s="12" t="inlineStr">
        <is>
          <t>Modular / portable power</t>
        </is>
      </c>
      <c r="D5181" s="12" t="inlineStr">
        <is>
          <t>Motor 1 of 2, 3.7 kW</t>
        </is>
      </c>
      <c r="E5181" s="12" t="inlineStr"/>
      <c r="F5181" s="12" t="inlineStr">
        <is>
          <t>SC-2 PCM + 15 kV GCB</t>
        </is>
      </c>
      <c r="G5181" s="12" t="inlineStr"/>
      <c r="H5181" s="12" t="inlineStr">
        <is>
          <t>Aqueous ammonia (SC units)</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3.7</v>
      </c>
      <c r="R5181" s="12" t="n">
        <v>5.2</v>
      </c>
      <c r="S5181" s="12" t="inlineStr">
        <is>
          <t>Duct bank</t>
        </is>
      </c>
      <c r="T5181" s="15" t="n">
        <v>0</v>
      </c>
      <c r="U5181" s="15" t="n">
        <v>98</v>
      </c>
      <c r="V5181" s="15">
        <f>ROUNDUP((T5181+U5181+2*'Read Me'!$B$13)*(1+'Read Me'!$B$12),-1)</f>
        <v/>
      </c>
      <c r="W5181" s="15">
        <f>V5181*N5181*O5181</f>
        <v/>
      </c>
      <c r="X5181" s="12">
        <f>IF(LEFT(I5181,2)="MV",2*N5181*IF(L5181="1/C",O5181,1),0)</f>
        <v/>
      </c>
      <c r="Y5181" s="12">
        <f>IF(OR(LEFT(K5181,4)="LVAX",LEFT(K5181,6)="MV15AX",LEFT(K5181,4)="CTAX",LEFT(K5181,2)="W|"),2*N5181*O5181,0)</f>
        <v/>
      </c>
      <c r="Z5181" s="12" t="inlineStr">
        <is>
          <t>VD 0.2 %</t>
        </is>
      </c>
      <c r="AA5181" s="12">
        <f>N5181*O5181</f>
        <v/>
      </c>
    </row>
    <row r="5182">
      <c r="A5182" s="12" t="inlineStr">
        <is>
          <t>I-P-0003</t>
        </is>
      </c>
      <c r="B5182" s="12" t="inlineStr">
        <is>
          <t>I</t>
        </is>
      </c>
      <c r="C5182" s="12" t="inlineStr">
        <is>
          <t>Modular / portable power</t>
        </is>
      </c>
      <c r="D5182" s="12" t="inlineStr">
        <is>
          <t>Motor 2 of 2, 3.7 kW</t>
        </is>
      </c>
      <c r="E5182" s="12" t="inlineStr"/>
      <c r="F5182" s="12" t="inlineStr">
        <is>
          <t>SC-2 PCM + 15 kV GCB</t>
        </is>
      </c>
      <c r="G5182" s="12" t="inlineStr"/>
      <c r="H5182" s="12" t="inlineStr">
        <is>
          <t>Aqueous ammonia (SC units)</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3.7</v>
      </c>
      <c r="R5182" s="12" t="n">
        <v>5.2</v>
      </c>
      <c r="S5182" s="12" t="inlineStr">
        <is>
          <t>Duct bank</t>
        </is>
      </c>
      <c r="T5182" s="15" t="n">
        <v>0</v>
      </c>
      <c r="U5182" s="15" t="n">
        <v>98</v>
      </c>
      <c r="V5182" s="15">
        <f>ROUNDUP((T5182+U5182+2*'Read Me'!$B$13)*(1+'Read Me'!$B$12),-1)</f>
        <v/>
      </c>
      <c r="W5182" s="15">
        <f>V5182*N5182*O5182</f>
        <v/>
      </c>
      <c r="X5182" s="12">
        <f>IF(LEFT(I5182,2)="MV",2*N5182*IF(L5182="1/C",O5182,1),0)</f>
        <v/>
      </c>
      <c r="Y5182" s="12">
        <f>IF(OR(LEFT(K5182,4)="LVAX",LEFT(K5182,6)="MV15AX",LEFT(K5182,4)="CTAX",LEFT(K5182,2)="W|"),2*N5182*O5182,0)</f>
        <v/>
      </c>
      <c r="Z5182" s="12" t="inlineStr">
        <is>
          <t>VD 0.2 %</t>
        </is>
      </c>
      <c r="AA5182" s="12">
        <f>N5182*O5182</f>
        <v/>
      </c>
    </row>
    <row r="5183">
      <c r="A5183" s="12" t="inlineStr">
        <is>
          <t>I-P-0004</t>
        </is>
      </c>
      <c r="B5183" s="12" t="inlineStr">
        <is>
          <t>I</t>
        </is>
      </c>
      <c r="C5183" s="12" t="inlineStr">
        <is>
          <t>Modular / portable power</t>
        </is>
      </c>
      <c r="D5183" s="12" t="inlineStr">
        <is>
          <t>Black-start genset output</t>
        </is>
      </c>
      <c r="E5183" s="12" t="inlineStr"/>
      <c r="F5183" s="12" t="inlineStr">
        <is>
          <t>Black-start genset (proposed; requires study)</t>
        </is>
      </c>
      <c r="G5183" s="12" t="inlineStr"/>
      <c r="H5183" s="12" t="inlineStr">
        <is>
          <t>BS black-start switchgear</t>
        </is>
      </c>
      <c r="I5183" s="12" t="inlineStr">
        <is>
          <t>LV 600 V</t>
        </is>
      </c>
      <c r="J5183" s="12" t="inlineStr">
        <is>
          <t>Type TC-ER 600 V 3/C Cu XHHW-2 + ground, PVC jacket</t>
        </is>
      </c>
      <c r="K5183" s="12" t="inlineStr">
        <is>
          <t>LV|3/C+G|500</t>
        </is>
      </c>
      <c r="L5183" s="12" t="inlineStr">
        <is>
          <t>3/C+G</t>
        </is>
      </c>
      <c r="M5183" s="12" t="inlineStr">
        <is>
          <t>500 kcmil</t>
        </is>
      </c>
      <c r="N5183" s="12" t="n">
        <v>10</v>
      </c>
      <c r="O5183" s="12" t="n">
        <v>1</v>
      </c>
      <c r="P5183" s="12" t="n">
        <v>480</v>
      </c>
      <c r="Q5183" s="12" t="n">
        <v>2000</v>
      </c>
      <c r="R5183" s="12" t="n">
        <v>2532.3</v>
      </c>
      <c r="S5183" s="12" t="inlineStr">
        <is>
          <t>Tray</t>
        </is>
      </c>
      <c r="T5183" s="15" t="n">
        <v>0</v>
      </c>
      <c r="U5183" s="15" t="n">
        <v>41</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I-P-0005</t>
        </is>
      </c>
      <c r="B5184" s="12" t="inlineStr">
        <is>
          <t>I</t>
        </is>
      </c>
      <c r="C5184" s="12" t="inlineStr">
        <is>
          <t>Modular / portable power</t>
        </is>
      </c>
      <c r="D5184" s="12" t="inlineStr">
        <is>
          <t>Black-start genset output</t>
        </is>
      </c>
      <c r="E5184" s="12" t="inlineStr"/>
      <c r="F5184" s="12" t="inlineStr">
        <is>
          <t>Black-start genset (proposed; requires study)</t>
        </is>
      </c>
      <c r="G5184" s="12" t="inlineStr"/>
      <c r="H5184" s="12" t="inlineStr">
        <is>
          <t>BS black-start switchgear</t>
        </is>
      </c>
      <c r="I5184" s="12" t="inlineStr">
        <is>
          <t>LV 600 V</t>
        </is>
      </c>
      <c r="J5184" s="12" t="inlineStr">
        <is>
          <t>Type TC-ER 600 V 3/C Cu XHHW-2 + ground, PVC jacket</t>
        </is>
      </c>
      <c r="K5184" s="12" t="inlineStr">
        <is>
          <t>LV|3/C+G|500</t>
        </is>
      </c>
      <c r="L5184" s="12" t="inlineStr">
        <is>
          <t>3/C+G</t>
        </is>
      </c>
      <c r="M5184" s="12" t="inlineStr">
        <is>
          <t>500 kcmil</t>
        </is>
      </c>
      <c r="N5184" s="12" t="n">
        <v>10</v>
      </c>
      <c r="O5184" s="12" t="n">
        <v>1</v>
      </c>
      <c r="P5184" s="12" t="n">
        <v>480</v>
      </c>
      <c r="Q5184" s="12" t="n">
        <v>2000</v>
      </c>
      <c r="R5184" s="12" t="n">
        <v>2532.3</v>
      </c>
      <c r="S5184" s="12" t="inlineStr">
        <is>
          <t>Tray</t>
        </is>
      </c>
      <c r="T5184" s="15" t="n">
        <v>0</v>
      </c>
      <c r="U5184" s="15" t="n">
        <v>49</v>
      </c>
      <c r="V5184" s="15">
        <f>ROUNDUP((T5184+U5184+2*'Read Me'!$B$13)*(1+'Read Me'!$B$12),-1)</f>
        <v/>
      </c>
      <c r="W5184" s="15">
        <f>V5184*N5184*O5184</f>
        <v/>
      </c>
      <c r="X5184" s="12">
        <f>IF(LEFT(I5184,2)="MV",2*N5184*IF(L5184="1/C",O5184,1),0)</f>
        <v/>
      </c>
      <c r="Y5184" s="12">
        <f>IF(OR(LEFT(K5184,4)="LVAX",LEFT(K5184,6)="MV15AX",LEFT(K5184,4)="CTAX",LEFT(K5184,2)="W|"),2*N5184*O5184,0)</f>
        <v/>
      </c>
      <c r="Z5184" s="12" t="inlineStr">
        <is>
          <t>VD 0.1 %</t>
        </is>
      </c>
      <c r="AA5184" s="12">
        <f>N5184*O5184</f>
        <v/>
      </c>
    </row>
    <row r="5185">
      <c r="A5185" s="12" t="inlineStr">
        <is>
          <t>I-P-0006</t>
        </is>
      </c>
      <c r="B5185" s="12" t="inlineStr">
        <is>
          <t>I</t>
        </is>
      </c>
      <c r="C5185" s="12" t="inlineStr">
        <is>
          <t>Modular / portable power</t>
        </is>
      </c>
      <c r="D5185" s="12" t="inlineStr">
        <is>
          <t>LV power feeder</t>
        </is>
      </c>
      <c r="E5185" s="12" t="inlineStr"/>
      <c r="F5185" s="12" t="inlineStr">
        <is>
          <t>PCM: power control module</t>
        </is>
      </c>
      <c r="G5185" s="12" t="inlineStr"/>
      <c r="H5185" s="12" t="inlineStr">
        <is>
          <t>BS black-start switchgear</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15</v>
      </c>
      <c r="R5185" s="12" t="n">
        <v>21.2</v>
      </c>
      <c r="S5185" s="12" t="inlineStr">
        <is>
          <t>Duct bank</t>
        </is>
      </c>
      <c r="T5185" s="15" t="n">
        <v>528</v>
      </c>
      <c r="U5185" s="15" t="n">
        <v>64</v>
      </c>
      <c r="V5185" s="15">
        <f>ROUNDUP((T5185+U5185+2*'Read Me'!$B$13)*(1+'Read Me'!$B$12),-1)</f>
        <v/>
      </c>
      <c r="W5185" s="15">
        <f>V5185*N5185*O5185</f>
        <v/>
      </c>
      <c r="X5185" s="12">
        <f>IF(LEFT(I5185,2)="MV",2*N5185*IF(L5185="1/C",O5185,1),0)</f>
        <v/>
      </c>
      <c r="Y5185" s="12">
        <f>IF(OR(LEFT(K5185,4)="LVAX",LEFT(K5185,6)="MV15AX",LEFT(K5185,4)="CTAX",LEFT(K5185,2)="W|"),2*N5185*O5185,0)</f>
        <v/>
      </c>
      <c r="Z5185" s="12" t="inlineStr">
        <is>
          <t>VD 2.5 %</t>
        </is>
      </c>
      <c r="AA5185" s="12">
        <f>N5185*O5185</f>
        <v/>
      </c>
    </row>
    <row r="5186">
      <c r="A5186" s="12" t="inlineStr">
        <is>
          <t>I-P-0007</t>
        </is>
      </c>
      <c r="B5186" s="12" t="inlineStr">
        <is>
          <t>I</t>
        </is>
      </c>
      <c r="C5186" s="12" t="inlineStr">
        <is>
          <t>Modular / portable power</t>
        </is>
      </c>
      <c r="D5186" s="12" t="inlineStr">
        <is>
          <t>CGE-1 cooling container: radiator fans, jacket-water pumps (deck)</t>
        </is>
      </c>
      <c r="E5186" s="12" t="inlineStr">
        <is>
          <t>CGE-AUX</t>
        </is>
      </c>
      <c r="F5186" s="12" t="inlineStr">
        <is>
          <t>CGE-AUX: 13.8 / 0.48 kV auxiliary transformer (cooling containers, rad</t>
        </is>
      </c>
      <c r="G5186" s="12" t="inlineStr">
        <is>
          <t>CGE-DECK</t>
        </is>
      </c>
      <c r="H5186" s="12" t="inlineStr">
        <is>
          <t>CGE-1..4 upper deck: stacked cooling containers, radiators, silencers,</t>
        </is>
      </c>
      <c r="I5186" s="12" t="inlineStr">
        <is>
          <t>LV 600 V</t>
        </is>
      </c>
      <c r="J5186" s="12" t="inlineStr">
        <is>
          <t>Type TC-ER 600 V 3/C Cu XHHW-2 + ground, PVC jacket</t>
        </is>
      </c>
      <c r="K5186" s="12" t="inlineStr">
        <is>
          <t>LV|3/C+G|3/0</t>
        </is>
      </c>
      <c r="L5186" s="12" t="inlineStr">
        <is>
          <t>3/C+G</t>
        </is>
      </c>
      <c r="M5186" s="12" t="inlineStr">
        <is>
          <t>3/0</t>
        </is>
      </c>
      <c r="N5186" s="12" t="n">
        <v>1</v>
      </c>
      <c r="O5186" s="12" t="n">
        <v>1</v>
      </c>
      <c r="P5186" s="12" t="n">
        <v>480</v>
      </c>
      <c r="Q5186" s="12" t="n">
        <v>110</v>
      </c>
      <c r="R5186" s="12" t="n">
        <v>155.7</v>
      </c>
      <c r="S5186" s="12" t="inlineStr">
        <is>
          <t>Duct bank</t>
        </is>
      </c>
      <c r="T5186" s="15" t="n">
        <v>59</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0.4 %</t>
        </is>
      </c>
      <c r="AA5186" s="12">
        <f>N5186*O5186</f>
        <v/>
      </c>
    </row>
    <row r="5187">
      <c r="A5187" s="12" t="inlineStr">
        <is>
          <t>I-P-0008</t>
        </is>
      </c>
      <c r="B5187" s="12" t="inlineStr">
        <is>
          <t>I</t>
        </is>
      </c>
      <c r="C5187" s="12" t="inlineStr">
        <is>
          <t>Modular / portable power</t>
        </is>
      </c>
      <c r="D5187" s="12" t="inlineStr">
        <is>
          <t>CGE-2 cooling container: radiator fans, jacket-water pumps (deck)</t>
        </is>
      </c>
      <c r="E5187" s="12" t="inlineStr">
        <is>
          <t>CGE-AUX</t>
        </is>
      </c>
      <c r="F5187" s="12" t="inlineStr">
        <is>
          <t>CGE-AUX: 13.8 / 0.48 kV auxiliary transformer (cooling containers, rad</t>
        </is>
      </c>
      <c r="G5187" s="12" t="inlineStr">
        <is>
          <t>CGE-DECK</t>
        </is>
      </c>
      <c r="H5187" s="12" t="inlineStr">
        <is>
          <t>CGE-1..4 upper deck: stacked cooling containers, radiators, silencers,</t>
        </is>
      </c>
      <c r="I5187" s="12" t="inlineStr">
        <is>
          <t>LV 600 V</t>
        </is>
      </c>
      <c r="J5187" s="12" t="inlineStr">
        <is>
          <t>Type TC-ER 600 V 3/C Cu XHHW-2 + ground, PVC jacket</t>
        </is>
      </c>
      <c r="K5187" s="12" t="inlineStr">
        <is>
          <t>LV|3/C+G|3/0</t>
        </is>
      </c>
      <c r="L5187" s="12" t="inlineStr">
        <is>
          <t>3/C+G</t>
        </is>
      </c>
      <c r="M5187" s="12" t="inlineStr">
        <is>
          <t>3/0</t>
        </is>
      </c>
      <c r="N5187" s="12" t="n">
        <v>1</v>
      </c>
      <c r="O5187" s="12" t="n">
        <v>1</v>
      </c>
      <c r="P5187" s="12" t="n">
        <v>480</v>
      </c>
      <c r="Q5187" s="12" t="n">
        <v>110</v>
      </c>
      <c r="R5187" s="12" t="n">
        <v>155.7</v>
      </c>
      <c r="S5187" s="12" t="inlineStr">
        <is>
          <t>Duct bank</t>
        </is>
      </c>
      <c r="T5187" s="15" t="n">
        <v>59</v>
      </c>
      <c r="U5187" s="15" t="n">
        <v>32</v>
      </c>
      <c r="V5187" s="15">
        <f>ROUNDUP((T5187+U5187+2*'Read Me'!$B$13)*(1+'Read Me'!$B$12),-1)</f>
        <v/>
      </c>
      <c r="W5187" s="15">
        <f>V5187*N5187*O5187</f>
        <v/>
      </c>
      <c r="X5187" s="12">
        <f>IF(LEFT(I5187,2)="MV",2*N5187*IF(L5187="1/C",O5187,1),0)</f>
        <v/>
      </c>
      <c r="Y5187" s="12">
        <f>IF(OR(LEFT(K5187,4)="LVAX",LEFT(K5187,6)="MV15AX",LEFT(K5187,4)="CTAX",LEFT(K5187,2)="W|"),2*N5187*O5187,0)</f>
        <v/>
      </c>
      <c r="Z5187" s="12" t="inlineStr">
        <is>
          <t>VD 0.4 %</t>
        </is>
      </c>
      <c r="AA5187" s="12">
        <f>N5187*O5187</f>
        <v/>
      </c>
    </row>
    <row r="5188">
      <c r="A5188" s="12" t="inlineStr">
        <is>
          <t>I-P-0009</t>
        </is>
      </c>
      <c r="B5188" s="12" t="inlineStr">
        <is>
          <t>I</t>
        </is>
      </c>
      <c r="C5188" s="12" t="inlineStr">
        <is>
          <t>Modular / portable power</t>
        </is>
      </c>
      <c r="D5188" s="12" t="inlineStr">
        <is>
          <t>CGE-3 cooling container: radiator fans, jacket-water pumps (deck)</t>
        </is>
      </c>
      <c r="E5188" s="12" t="inlineStr">
        <is>
          <t>CGE-AUX</t>
        </is>
      </c>
      <c r="F5188" s="12" t="inlineStr">
        <is>
          <t>CGE-AUX: 13.8 / 0.48 kV auxiliary transformer (cooling containers, rad</t>
        </is>
      </c>
      <c r="G5188" s="12" t="inlineStr">
        <is>
          <t>CGE-DECK</t>
        </is>
      </c>
      <c r="H5188" s="12" t="inlineStr">
        <is>
          <t>CGE-1..4 upper deck: stacked cooling containers, radiators, silencers,</t>
        </is>
      </c>
      <c r="I5188" s="12" t="inlineStr">
        <is>
          <t>LV 600 V</t>
        </is>
      </c>
      <c r="J5188" s="12" t="inlineStr">
        <is>
          <t>Type TC-ER 600 V 3/C Cu XHHW-2 + ground, PVC jacket</t>
        </is>
      </c>
      <c r="K5188" s="12" t="inlineStr">
        <is>
          <t>LV|3/C+G|3/0</t>
        </is>
      </c>
      <c r="L5188" s="12" t="inlineStr">
        <is>
          <t>3/C+G</t>
        </is>
      </c>
      <c r="M5188" s="12" t="inlineStr">
        <is>
          <t>3/0</t>
        </is>
      </c>
      <c r="N5188" s="12" t="n">
        <v>1</v>
      </c>
      <c r="O5188" s="12" t="n">
        <v>1</v>
      </c>
      <c r="P5188" s="12" t="n">
        <v>480</v>
      </c>
      <c r="Q5188" s="12" t="n">
        <v>110</v>
      </c>
      <c r="R5188" s="12" t="n">
        <v>155.7</v>
      </c>
      <c r="S5188" s="12" t="inlineStr">
        <is>
          <t>Duct bank</t>
        </is>
      </c>
      <c r="T5188" s="15" t="n">
        <v>59</v>
      </c>
      <c r="U5188" s="15" t="n">
        <v>32</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I-P-0010</t>
        </is>
      </c>
      <c r="B5189" s="12" t="inlineStr">
        <is>
          <t>I</t>
        </is>
      </c>
      <c r="C5189" s="12" t="inlineStr">
        <is>
          <t>Modular / portable power</t>
        </is>
      </c>
      <c r="D5189" s="12" t="inlineStr">
        <is>
          <t>CGE-4 cooling container: radiator fans, jacket-water pumps (deck)</t>
        </is>
      </c>
      <c r="E5189" s="12" t="inlineStr">
        <is>
          <t>CGE-AUX</t>
        </is>
      </c>
      <c r="F5189" s="12" t="inlineStr">
        <is>
          <t>CGE-AUX: 13.8 / 0.48 kV auxiliary transformer (cooling containers, rad</t>
        </is>
      </c>
      <c r="G5189" s="12" t="inlineStr">
        <is>
          <t>CGE-DECK</t>
        </is>
      </c>
      <c r="H5189" s="12" t="inlineStr">
        <is>
          <t>CGE-1..4 upper deck: stacked cooling containers, radiators, silencers,</t>
        </is>
      </c>
      <c r="I5189" s="12" t="inlineStr">
        <is>
          <t>LV 600 V</t>
        </is>
      </c>
      <c r="J5189" s="12" t="inlineStr">
        <is>
          <t>Type TC-ER 600 V 3/C Cu XHHW-2 + ground, PVC jacket</t>
        </is>
      </c>
      <c r="K5189" s="12" t="inlineStr">
        <is>
          <t>LV|3/C+G|3/0</t>
        </is>
      </c>
      <c r="L5189" s="12" t="inlineStr">
        <is>
          <t>3/C+G</t>
        </is>
      </c>
      <c r="M5189" s="12" t="inlineStr">
        <is>
          <t>3/0</t>
        </is>
      </c>
      <c r="N5189" s="12" t="n">
        <v>1</v>
      </c>
      <c r="O5189" s="12" t="n">
        <v>1</v>
      </c>
      <c r="P5189" s="12" t="n">
        <v>480</v>
      </c>
      <c r="Q5189" s="12" t="n">
        <v>110</v>
      </c>
      <c r="R5189" s="12" t="n">
        <v>155.7</v>
      </c>
      <c r="S5189" s="12" t="inlineStr">
        <is>
          <t>Duct bank</t>
        </is>
      </c>
      <c r="T5189" s="15" t="n">
        <v>59</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I-P-0011</t>
        </is>
      </c>
      <c r="B5190" s="12" t="inlineStr">
        <is>
          <t>I</t>
        </is>
      </c>
      <c r="C5190" s="12" t="inlineStr">
        <is>
          <t>Modular / portable power</t>
        </is>
      </c>
      <c r="D5190" s="12" t="inlineStr">
        <is>
          <t>CGE-SWG station service: DC charger, heaters, HVAC, lighting</t>
        </is>
      </c>
      <c r="E5190" s="12" t="inlineStr">
        <is>
          <t>CGE-AUX</t>
        </is>
      </c>
      <c r="F5190" s="12" t="inlineStr">
        <is>
          <t>CGE-AUX: 13.8 / 0.48 kV auxiliary transformer (cooling containers, rad</t>
        </is>
      </c>
      <c r="G5190" s="12" t="inlineStr">
        <is>
          <t>CGE-SWG</t>
        </is>
      </c>
      <c r="H5190" s="12" t="inlineStr">
        <is>
          <t>CGE-SWG: 13.8 kV switchgear container (engine breakers, site feeder)</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45</v>
      </c>
      <c r="R5190" s="12" t="n">
        <v>57</v>
      </c>
      <c r="S5190" s="12" t="inlineStr">
        <is>
          <t>Duct bank</t>
        </is>
      </c>
      <c r="T5190" s="15" t="n">
        <v>12</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I-P-0012</t>
        </is>
      </c>
      <c r="B5191" s="12" t="inlineStr">
        <is>
          <t>I</t>
        </is>
      </c>
      <c r="C5191" s="12" t="inlineStr">
        <is>
          <t>Modular / portable power</t>
        </is>
      </c>
      <c r="D5191" s="12" t="inlineStr">
        <is>
          <t>CHP-1 auxiliaries (jacket-water pump, enclosure ventilation)</t>
        </is>
      </c>
      <c r="E5191" s="12" t="inlineStr">
        <is>
          <t>CHP-AUX</t>
        </is>
      </c>
      <c r="F5191" s="12" t="inlineStr">
        <is>
          <t>CHP-AUX: 13.8 / 0.48 kV, 750 kVA auxiliary pad-mount (engine auxiliari</t>
        </is>
      </c>
      <c r="G5191" s="12" t="inlineStr">
        <is>
          <t>CHP-1</t>
        </is>
      </c>
      <c r="H5191" s="12" t="inlineStr">
        <is>
          <t>CHP-1: gas-engine generator ~2.5 MW with exhaust heat recovery, 13.8 k</t>
        </is>
      </c>
      <c r="I5191" s="12" t="inlineStr">
        <is>
          <t>LV 600 V</t>
        </is>
      </c>
      <c r="J5191" s="12" t="inlineStr">
        <is>
          <t>Type TC-ER 600 V 3/C Cu XHHW-2 + ground, PVC jacket</t>
        </is>
      </c>
      <c r="K5191" s="12" t="inlineStr">
        <is>
          <t>LV|3/C+G|2</t>
        </is>
      </c>
      <c r="L5191" s="12" t="inlineStr">
        <is>
          <t>3/C+G</t>
        </is>
      </c>
      <c r="M5191" s="12" t="inlineStr">
        <is>
          <t>2</t>
        </is>
      </c>
      <c r="N5191" s="12" t="n">
        <v>1</v>
      </c>
      <c r="O5191" s="12" t="n">
        <v>1</v>
      </c>
      <c r="P5191" s="12" t="n">
        <v>480</v>
      </c>
      <c r="Q5191" s="12" t="n">
        <v>60</v>
      </c>
      <c r="R5191" s="12" t="n">
        <v>84.90000000000001</v>
      </c>
      <c r="S5191" s="12" t="inlineStr">
        <is>
          <t>Duct bank</t>
        </is>
      </c>
      <c r="T5191" s="15" t="n">
        <v>87</v>
      </c>
      <c r="U5191" s="15" t="n">
        <v>46</v>
      </c>
      <c r="V5191" s="15">
        <f>ROUNDUP((T5191+U5191+2*'Read Me'!$B$13)*(1+'Read Me'!$B$12),-1)</f>
        <v/>
      </c>
      <c r="W5191" s="15">
        <f>V5191*N5191*O5191</f>
        <v/>
      </c>
      <c r="X5191" s="12">
        <f>IF(LEFT(I5191,2)="MV",2*N5191*IF(L5191="1/C",O5191,1),0)</f>
        <v/>
      </c>
      <c r="Y5191" s="12">
        <f>IF(OR(LEFT(K5191,4)="LVAX",LEFT(K5191,6)="MV15AX",LEFT(K5191,4)="CTAX",LEFT(K5191,2)="W|"),2*N5191*O5191,0)</f>
        <v/>
      </c>
      <c r="Z5191" s="12" t="inlineStr">
        <is>
          <t>VD 0.9 %</t>
        </is>
      </c>
      <c r="AA5191" s="12">
        <f>N5191*O5191</f>
        <v/>
      </c>
    </row>
    <row r="5192">
      <c r="A5192" s="12" t="inlineStr">
        <is>
          <t>I-P-0013</t>
        </is>
      </c>
      <c r="B5192" s="12" t="inlineStr">
        <is>
          <t>I</t>
        </is>
      </c>
      <c r="C5192" s="12" t="inlineStr">
        <is>
          <t>Modular / portable power</t>
        </is>
      </c>
      <c r="D5192" s="12" t="inlineStr">
        <is>
          <t>CHP-2 auxiliaries (jacket-water pump, enclosure ventilation)</t>
        </is>
      </c>
      <c r="E5192" s="12" t="inlineStr">
        <is>
          <t>CHP-AUX</t>
        </is>
      </c>
      <c r="F5192" s="12" t="inlineStr">
        <is>
          <t>CHP-AUX: 13.8 / 0.48 kV, 750 kVA auxiliary pad-mount (engine auxiliari</t>
        </is>
      </c>
      <c r="G5192" s="12" t="inlineStr">
        <is>
          <t>CHP-2</t>
        </is>
      </c>
      <c r="H5192" s="12" t="inlineStr">
        <is>
          <t>CHP-2: gas-engine generator ~2.5 MW with exhaust heat recovery, 13.8 k</t>
        </is>
      </c>
      <c r="I5192" s="12" t="inlineStr">
        <is>
          <t>LV 600 V</t>
        </is>
      </c>
      <c r="J5192" s="12" t="inlineStr">
        <is>
          <t>Type TC-ER 600 V 3/C Cu XHHW-2 + ground, PVC jacket</t>
        </is>
      </c>
      <c r="K5192" s="12" t="inlineStr">
        <is>
          <t>LV|3/C+G|2</t>
        </is>
      </c>
      <c r="L5192" s="12" t="inlineStr">
        <is>
          <t>3/C+G</t>
        </is>
      </c>
      <c r="M5192" s="12" t="inlineStr">
        <is>
          <t>2</t>
        </is>
      </c>
      <c r="N5192" s="12" t="n">
        <v>1</v>
      </c>
      <c r="O5192" s="12" t="n">
        <v>1</v>
      </c>
      <c r="P5192" s="12" t="n">
        <v>480</v>
      </c>
      <c r="Q5192" s="12" t="n">
        <v>60</v>
      </c>
      <c r="R5192" s="12" t="n">
        <v>84.90000000000001</v>
      </c>
      <c r="S5192" s="12" t="inlineStr">
        <is>
          <t>Duct bank</t>
        </is>
      </c>
      <c r="T5192" s="15" t="n">
        <v>87</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is>
          <t>VD 0.8 %</t>
        </is>
      </c>
      <c r="AA5192" s="12">
        <f>N5192*O5192</f>
        <v/>
      </c>
    </row>
    <row r="5193">
      <c r="A5193" s="12" t="inlineStr">
        <is>
          <t>I-P-0014</t>
        </is>
      </c>
      <c r="B5193" s="12" t="inlineStr">
        <is>
          <t>I</t>
        </is>
      </c>
      <c r="C5193" s="12" t="inlineStr">
        <is>
          <t>Modular / portable power</t>
        </is>
      </c>
      <c r="D5193" s="12" t="inlineStr">
        <is>
          <t>CHP-3 auxiliaries (jacket-water pump, enclosure ventilation)</t>
        </is>
      </c>
      <c r="E5193" s="12" t="inlineStr">
        <is>
          <t>CHP-AUX</t>
        </is>
      </c>
      <c r="F5193" s="12" t="inlineStr">
        <is>
          <t>CHP-AUX: 13.8 / 0.48 kV, 750 kVA auxiliary pad-mount (engine auxiliari</t>
        </is>
      </c>
      <c r="G5193" s="12" t="inlineStr">
        <is>
          <t>CHP-3</t>
        </is>
      </c>
      <c r="H5193" s="12" t="inlineStr">
        <is>
          <t>CHP-3: gas-engine generator ~2.5 MW with exhaust heat recovery, 13.8 k</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84.90000000000001</v>
      </c>
      <c r="S5193" s="12" t="inlineStr">
        <is>
          <t>Duct bank</t>
        </is>
      </c>
      <c r="T5193" s="15" t="n">
        <v>62</v>
      </c>
      <c r="U5193" s="15" t="n">
        <v>33</v>
      </c>
      <c r="V5193" s="15">
        <f>ROUNDUP((T5193+U5193+2*'Read Me'!$B$13)*(1+'Read Me'!$B$12),-1)</f>
        <v/>
      </c>
      <c r="W5193" s="15">
        <f>V5193*N5193*O5193</f>
        <v/>
      </c>
      <c r="X5193" s="12">
        <f>IF(LEFT(I5193,2)="MV",2*N5193*IF(L5193="1/C",O5193,1),0)</f>
        <v/>
      </c>
      <c r="Y5193" s="12">
        <f>IF(OR(LEFT(K5193,4)="LVAX",LEFT(K5193,6)="MV15AX",LEFT(K5193,4)="CTAX",LEFT(K5193,2)="W|"),2*N5193*O5193,0)</f>
        <v/>
      </c>
      <c r="Z5193" s="12" t="inlineStr">
        <is>
          <t>VD 0.6 %</t>
        </is>
      </c>
      <c r="AA5193" s="12">
        <f>N5193*O5193</f>
        <v/>
      </c>
    </row>
    <row r="5194">
      <c r="A5194" s="12" t="inlineStr">
        <is>
          <t>I-P-0015</t>
        </is>
      </c>
      <c r="B5194" s="12" t="inlineStr">
        <is>
          <t>I</t>
        </is>
      </c>
      <c r="C5194" s="12" t="inlineStr">
        <is>
          <t>Modular / portable power</t>
        </is>
      </c>
      <c r="D5194" s="12" t="inlineStr">
        <is>
          <t>CHP-4 auxiliaries (jacket-water pump, enclosure ventilation)</t>
        </is>
      </c>
      <c r="E5194" s="12" t="inlineStr">
        <is>
          <t>CHP-AUX</t>
        </is>
      </c>
      <c r="F5194" s="12" t="inlineStr">
        <is>
          <t>CHP-AUX: 13.8 / 0.48 kV, 750 kVA auxiliary pad-mount (engine auxiliari</t>
        </is>
      </c>
      <c r="G5194" s="12" t="inlineStr">
        <is>
          <t>CHP-4</t>
        </is>
      </c>
      <c r="H5194" s="12" t="inlineStr">
        <is>
          <t>CHP-4: gas-engine generator ~2.5 MW with exhaust heat recovery, 13.8 k</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84.90000000000001</v>
      </c>
      <c r="S5194" s="12" t="inlineStr">
        <is>
          <t>Duct bank</t>
        </is>
      </c>
      <c r="T5194" s="15" t="n">
        <v>49</v>
      </c>
      <c r="U5194" s="15" t="n">
        <v>32</v>
      </c>
      <c r="V5194" s="15">
        <f>ROUNDUP((T5194+U5194+2*'Read Me'!$B$13)*(1+'Read Me'!$B$12),-1)</f>
        <v/>
      </c>
      <c r="W5194" s="15">
        <f>V5194*N5194*O5194</f>
        <v/>
      </c>
      <c r="X5194" s="12">
        <f>IF(LEFT(I5194,2)="MV",2*N5194*IF(L5194="1/C",O5194,1),0)</f>
        <v/>
      </c>
      <c r="Y5194" s="12">
        <f>IF(OR(LEFT(K5194,4)="LVAX",LEFT(K5194,6)="MV15AX",LEFT(K5194,4)="CTAX",LEFT(K5194,2)="W|"),2*N5194*O5194,0)</f>
        <v/>
      </c>
      <c r="Z5194" s="12" t="inlineStr">
        <is>
          <t>VD 0.5 %</t>
        </is>
      </c>
      <c r="AA5194" s="12">
        <f>N5194*O5194</f>
        <v/>
      </c>
    </row>
    <row r="5195">
      <c r="A5195" s="12" t="inlineStr">
        <is>
          <t>I-P-0016</t>
        </is>
      </c>
      <c r="B5195" s="12" t="inlineStr">
        <is>
          <t>I</t>
        </is>
      </c>
      <c r="C5195" s="12" t="inlineStr">
        <is>
          <t>Modular / portable power</t>
        </is>
      </c>
      <c r="D5195" s="12" t="inlineStr">
        <is>
          <t>CHP-HR dump-cooler fans and hot-water circulation pumps</t>
        </is>
      </c>
      <c r="E5195" s="12" t="inlineStr">
        <is>
          <t>CHP-AUX</t>
        </is>
      </c>
      <c r="F5195" s="12" t="inlineStr">
        <is>
          <t>CHP-AUX: 13.8 / 0.48 kV, 750 kVA auxiliary pad-mount (engine auxiliari</t>
        </is>
      </c>
      <c r="G5195" s="12" t="inlineStr">
        <is>
          <t>CHP-HR</t>
        </is>
      </c>
      <c r="H5195" s="12" t="inlineStr">
        <is>
          <t>CHP-HR: exhaust heat-recovery rack (4 exhaust heat exchangers and stac</t>
        </is>
      </c>
      <c r="I5195" s="12" t="inlineStr">
        <is>
          <t>LV 600 V</t>
        </is>
      </c>
      <c r="J5195" s="12" t="inlineStr">
        <is>
          <t>Type TC-ER 600 V 3/C Cu XHHW-2 + ground, PVC jacket</t>
        </is>
      </c>
      <c r="K5195" s="12" t="inlineStr">
        <is>
          <t>LV|3/C+G|350</t>
        </is>
      </c>
      <c r="L5195" s="12" t="inlineStr">
        <is>
          <t>3/C+G</t>
        </is>
      </c>
      <c r="M5195" s="12" t="inlineStr">
        <is>
          <t>350 kcmil</t>
        </is>
      </c>
      <c r="N5195" s="12" t="n">
        <v>1</v>
      </c>
      <c r="O5195" s="12" t="n">
        <v>1</v>
      </c>
      <c r="P5195" s="12" t="n">
        <v>480</v>
      </c>
      <c r="Q5195" s="12" t="n">
        <v>160</v>
      </c>
      <c r="R5195" s="12" t="n">
        <v>226.4</v>
      </c>
      <c r="S5195" s="12" t="inlineStr">
        <is>
          <t>Duct bank</t>
        </is>
      </c>
      <c r="T5195" s="15" t="n">
        <v>69</v>
      </c>
      <c r="U5195" s="15" t="n">
        <v>32</v>
      </c>
      <c r="V5195" s="15">
        <f>ROUNDUP((T5195+U5195+2*'Read Me'!$B$13)*(1+'Read Me'!$B$12),-1)</f>
        <v/>
      </c>
      <c r="W5195" s="15">
        <f>V5195*N5195*O5195</f>
        <v/>
      </c>
      <c r="X5195" s="12">
        <f>IF(LEFT(I5195,2)="MV",2*N5195*IF(L5195="1/C",O5195,1),0)</f>
        <v/>
      </c>
      <c r="Y5195" s="12">
        <f>IF(OR(LEFT(K5195,4)="LVAX",LEFT(K5195,6)="MV15AX",LEFT(K5195,4)="CTAX",LEFT(K5195,2)="W|"),2*N5195*O5195,0)</f>
        <v/>
      </c>
      <c r="Z5195" s="12" t="inlineStr">
        <is>
          <t>VD 0.3 %</t>
        </is>
      </c>
      <c r="AA5195" s="12">
        <f>N5195*O5195</f>
        <v/>
      </c>
    </row>
    <row r="5196">
      <c r="A5196" s="12" t="inlineStr">
        <is>
          <t>I-P-0017</t>
        </is>
      </c>
      <c r="B5196" s="12" t="inlineStr">
        <is>
          <t>I</t>
        </is>
      </c>
      <c r="C5196" s="12" t="inlineStr">
        <is>
          <t>Modular / portable power</t>
        </is>
      </c>
      <c r="D5196" s="12" t="inlineStr">
        <is>
          <t>CHP-SWG station service: DC charger, heaters, HVAC, lighting</t>
        </is>
      </c>
      <c r="E5196" s="12" t="inlineStr">
        <is>
          <t>CHP-AUX</t>
        </is>
      </c>
      <c r="F5196" s="12" t="inlineStr">
        <is>
          <t>CHP-AUX: 13.8 / 0.48 kV, 750 kVA auxiliary pad-mount (engine auxiliari</t>
        </is>
      </c>
      <c r="G5196" s="12" t="inlineStr">
        <is>
          <t>CHP-SWG</t>
        </is>
      </c>
      <c r="H5196" s="12" t="inlineStr">
        <is>
          <t>CHP-SWG: 13.8 kV switchgear container (4 engine breakers, site feeder)</t>
        </is>
      </c>
      <c r="I5196" s="12" t="inlineStr">
        <is>
          <t>LV 600 V</t>
        </is>
      </c>
      <c r="J5196" s="12" t="inlineStr">
        <is>
          <t>Type TC-ER 600 V 3/C Cu XHHW-2 + ground, PVC jacket</t>
        </is>
      </c>
      <c r="K5196" s="12" t="inlineStr">
        <is>
          <t>LV|3/C+G|4</t>
        </is>
      </c>
      <c r="L5196" s="12" t="inlineStr">
        <is>
          <t>3/C+G</t>
        </is>
      </c>
      <c r="M5196" s="12" t="inlineStr">
        <is>
          <t>4</t>
        </is>
      </c>
      <c r="N5196" s="12" t="n">
        <v>1</v>
      </c>
      <c r="O5196" s="12" t="n">
        <v>1</v>
      </c>
      <c r="P5196" s="12" t="n">
        <v>480</v>
      </c>
      <c r="Q5196" s="12" t="n">
        <v>45</v>
      </c>
      <c r="R5196" s="12" t="n">
        <v>57</v>
      </c>
      <c r="S5196" s="12" t="inlineStr">
        <is>
          <t>Riser</t>
        </is>
      </c>
      <c r="T5196" s="15" t="n">
        <v>4</v>
      </c>
      <c r="U5196" s="15" t="n">
        <v>32</v>
      </c>
      <c r="V5196" s="15">
        <f>ROUNDUP((T5196+U5196+2*'Read Me'!$B$13)*(1+'Read Me'!$B$12),-1)</f>
        <v/>
      </c>
      <c r="W5196" s="15">
        <f>V5196*N5196*O5196</f>
        <v/>
      </c>
      <c r="X5196" s="12">
        <f>IF(LEFT(I5196,2)="MV",2*N5196*IF(L5196="1/C",O5196,1),0)</f>
        <v/>
      </c>
      <c r="Y5196" s="12">
        <f>IF(OR(LEFT(K5196,4)="LVAX",LEFT(K5196,6)="MV15AX",LEFT(K5196,4)="CTAX",LEFT(K5196,2)="W|"),2*N5196*O5196,0)</f>
        <v/>
      </c>
      <c r="Z5196" s="12" t="inlineStr">
        <is>
          <t>VD 0.3 %</t>
        </is>
      </c>
      <c r="AA5196" s="12">
        <f>N5196*O5196</f>
        <v/>
      </c>
    </row>
    <row r="5197">
      <c r="A5197" s="12" t="inlineStr">
        <is>
          <t>I-P-0018</t>
        </is>
      </c>
      <c r="B5197" s="12" t="inlineStr">
        <is>
          <t>I</t>
        </is>
      </c>
      <c r="C5197" s="12" t="inlineStr">
        <is>
          <t>Modular / portable power</t>
        </is>
      </c>
      <c r="D5197" s="12" t="inlineStr">
        <is>
          <t>LV power feeder</t>
        </is>
      </c>
      <c r="E5197" s="12" t="inlineStr"/>
      <c r="F5197" s="12" t="inlineStr">
        <is>
          <t>PCM: power control module</t>
        </is>
      </c>
      <c r="G5197" s="12" t="inlineStr"/>
      <c r="H5197" s="12" t="inlineStr">
        <is>
          <t>CONDITIONAL: BESS black-start alternative</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15</v>
      </c>
      <c r="R5197" s="12" t="n">
        <v>21.2</v>
      </c>
      <c r="S5197" s="12" t="inlineStr">
        <is>
          <t>Duct bank</t>
        </is>
      </c>
      <c r="T5197" s="15" t="n">
        <v>516</v>
      </c>
      <c r="U5197" s="15" t="n">
        <v>32</v>
      </c>
      <c r="V5197" s="15">
        <f>ROUNDUP((T5197+U5197+2*'Read Me'!$B$13)*(1+'Read Me'!$B$12),-1)</f>
        <v/>
      </c>
      <c r="W5197" s="15">
        <f>V5197*N5197*O5197</f>
        <v/>
      </c>
      <c r="X5197" s="12">
        <f>IF(LEFT(I5197,2)="MV",2*N5197*IF(L5197="1/C",O5197,1),0)</f>
        <v/>
      </c>
      <c r="Y5197" s="12">
        <f>IF(OR(LEFT(K5197,4)="LVAX",LEFT(K5197,6)="MV15AX",LEFT(K5197,4)="CTAX",LEFT(K5197,2)="W|"),2*N5197*O5197,0)</f>
        <v/>
      </c>
      <c r="Z5197" s="12" t="inlineStr">
        <is>
          <t>VD 2.3 %</t>
        </is>
      </c>
      <c r="AA5197" s="12">
        <f>N5197*O5197</f>
        <v/>
      </c>
    </row>
    <row r="5198">
      <c r="A5198" s="12" t="inlineStr">
        <is>
          <t>I-P-0019</t>
        </is>
      </c>
      <c r="B5198" s="12" t="inlineStr">
        <is>
          <t>I</t>
        </is>
      </c>
      <c r="C5198" s="12" t="inlineStr">
        <is>
          <t>Modular / portable power</t>
        </is>
      </c>
      <c r="D5198" s="12" t="inlineStr">
        <is>
          <t>LV power feeder</t>
        </is>
      </c>
      <c r="E5198" s="12" t="inlineStr"/>
      <c r="F5198" s="12" t="inlineStr">
        <is>
          <t>SC-1 PCM + 15 kV GCB</t>
        </is>
      </c>
      <c r="G5198" s="12" t="inlineStr"/>
      <c r="H5198" s="12" t="inlineStr">
        <is>
          <t>CONDITIONAL: SC-1 inlet chiller / evaporative cooler</t>
        </is>
      </c>
      <c r="I5198" s="12" t="inlineStr">
        <is>
          <t>LV 600 V</t>
        </is>
      </c>
      <c r="J5198" s="12" t="inlineStr">
        <is>
          <t>Type TC-ER 600 V 3/C Cu XHHW-2 + ground, PVC jacket</t>
        </is>
      </c>
      <c r="K5198" s="12" t="inlineStr">
        <is>
          <t>LV|3/C+G|350</t>
        </is>
      </c>
      <c r="L5198" s="12" t="inlineStr">
        <is>
          <t>3/C+G</t>
        </is>
      </c>
      <c r="M5198" s="12" t="inlineStr">
        <is>
          <t>350 kcmil</t>
        </is>
      </c>
      <c r="N5198" s="12" t="n">
        <v>3</v>
      </c>
      <c r="O5198" s="12" t="n">
        <v>1</v>
      </c>
      <c r="P5198" s="12" t="n">
        <v>480</v>
      </c>
      <c r="Q5198" s="12" t="n">
        <v>500</v>
      </c>
      <c r="R5198" s="12" t="n">
        <v>707.6</v>
      </c>
      <c r="S5198" s="12" t="inlineStr">
        <is>
          <t>Duct bank</t>
        </is>
      </c>
      <c r="T5198" s="15" t="n">
        <v>270</v>
      </c>
      <c r="U5198" s="15" t="n">
        <v>78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I-P-0020</t>
        </is>
      </c>
      <c r="B5199" s="12" t="inlineStr">
        <is>
          <t>I</t>
        </is>
      </c>
      <c r="C5199" s="12" t="inlineStr">
        <is>
          <t>Modular / portable power</t>
        </is>
      </c>
      <c r="D5199" s="12" t="inlineStr">
        <is>
          <t>LV power feeder</t>
        </is>
      </c>
      <c r="E5199" s="12" t="inlineStr"/>
      <c r="F5199" s="12" t="inlineStr">
        <is>
          <t>SC-2 PCM + 15 kV GCB</t>
        </is>
      </c>
      <c r="G5199" s="12" t="inlineStr"/>
      <c r="H5199" s="12" t="inlineStr">
        <is>
          <t>CONDITIONAL: SC-2 inlet chiller / evaporative cooler</t>
        </is>
      </c>
      <c r="I5199" s="12" t="inlineStr">
        <is>
          <t>LV 600 V</t>
        </is>
      </c>
      <c r="J5199" s="12" t="inlineStr">
        <is>
          <t>Type TC-ER 600 V 3/C Cu XHHW-2 + ground, PVC jacket</t>
        </is>
      </c>
      <c r="K5199" s="12" t="inlineStr">
        <is>
          <t>LV|3/C+G|350</t>
        </is>
      </c>
      <c r="L5199" s="12" t="inlineStr">
        <is>
          <t>3/C+G</t>
        </is>
      </c>
      <c r="M5199" s="12" t="inlineStr">
        <is>
          <t>350 kcmil</t>
        </is>
      </c>
      <c r="N5199" s="12" t="n">
        <v>3</v>
      </c>
      <c r="O5199" s="12" t="n">
        <v>1</v>
      </c>
      <c r="P5199" s="12" t="n">
        <v>480</v>
      </c>
      <c r="Q5199" s="12" t="n">
        <v>500</v>
      </c>
      <c r="R5199" s="12" t="n">
        <v>707.6</v>
      </c>
      <c r="S5199" s="12" t="inlineStr">
        <is>
          <t>Duct bank</t>
        </is>
      </c>
      <c r="T5199" s="15" t="n">
        <v>10</v>
      </c>
      <c r="U5199" s="15" t="n">
        <v>106</v>
      </c>
      <c r="V5199" s="15">
        <f>ROUNDUP((T5199+U5199+2*'Read Me'!$B$13)*(1+'Read Me'!$B$12),-1)</f>
        <v/>
      </c>
      <c r="W5199" s="15">
        <f>V5199*N5199*O5199</f>
        <v/>
      </c>
      <c r="X5199" s="12">
        <f>IF(LEFT(I5199,2)="MV",2*N5199*IF(L5199="1/C",O5199,1),0)</f>
        <v/>
      </c>
      <c r="Y5199" s="12">
        <f>IF(OR(LEFT(K5199,4)="LVAX",LEFT(K5199,6)="MV15AX",LEFT(K5199,4)="CTAX",LEFT(K5199,2)="W|"),2*N5199*O5199,0)</f>
        <v/>
      </c>
      <c r="Z5199" s="12" t="inlineStr">
        <is>
          <t>VD 0.4 %</t>
        </is>
      </c>
      <c r="AA5199" s="12">
        <f>N5199*O5199</f>
        <v/>
      </c>
    </row>
    <row r="5200">
      <c r="A5200" s="12" t="inlineStr">
        <is>
          <t>I-P-0021</t>
        </is>
      </c>
      <c r="B5200" s="12" t="inlineStr">
        <is>
          <t>I</t>
        </is>
      </c>
      <c r="C5200" s="12" t="inlineStr">
        <is>
          <t>Modular / portable power</t>
        </is>
      </c>
      <c r="D5200" s="12" t="inlineStr">
        <is>
          <t>FC-5 SOFC output to inverter / AC cabinet</t>
        </is>
      </c>
      <c r="E5200" s="12" t="inlineStr">
        <is>
          <t>FC-5</t>
        </is>
      </c>
      <c r="F5200" s="12" t="inlineStr">
        <is>
          <t>FC-5: SOFC module (200-300 kW class)</t>
        </is>
      </c>
      <c r="G5200" s="12" t="inlineStr"/>
      <c r="H5200" s="12" t="inlineStr">
        <is>
          <t>FC-5..8 inverter / AC cabinet / desulfurizer</t>
        </is>
      </c>
      <c r="I5200" s="12" t="inlineStr">
        <is>
          <t>LV 600 V</t>
        </is>
      </c>
      <c r="J5200" s="12" t="inlineStr">
        <is>
          <t>Type TC-ER 600 V 3/C Cu XHHW-2 + ground, PVC jacket</t>
        </is>
      </c>
      <c r="K5200" s="12" t="inlineStr">
        <is>
          <t>LV|3/C+G|3/0</t>
        </is>
      </c>
      <c r="L5200" s="12" t="inlineStr">
        <is>
          <t>3/C+G</t>
        </is>
      </c>
      <c r="M5200" s="12" t="inlineStr">
        <is>
          <t>3/0</t>
        </is>
      </c>
      <c r="N5200" s="12" t="n">
        <v>2</v>
      </c>
      <c r="O5200" s="12" t="n">
        <v>1</v>
      </c>
      <c r="P5200" s="12" t="n">
        <v>480</v>
      </c>
      <c r="Q5200" s="12" t="n">
        <v>250</v>
      </c>
      <c r="R5200" s="12" t="n">
        <v>316.5</v>
      </c>
      <c r="S5200" s="12" t="inlineStr">
        <is>
          <t>Surface</t>
        </is>
      </c>
      <c r="T5200" s="15" t="n">
        <v>48</v>
      </c>
      <c r="U5200" s="15" t="n">
        <v>27</v>
      </c>
      <c r="V5200" s="15">
        <f>ROUNDUP((T5200+U5200+2*'Read Me'!$B$13)*(1+'Read Me'!$B$12),-1)</f>
        <v/>
      </c>
      <c r="W5200" s="15">
        <f>V5200*N5200*O5200</f>
        <v/>
      </c>
      <c r="X5200" s="12">
        <f>IF(LEFT(I5200,2)="MV",2*N5200*IF(L5200="1/C",O5200,1),0)</f>
        <v/>
      </c>
      <c r="Y5200" s="12">
        <f>IF(OR(LEFT(K5200,4)="LVAX",LEFT(K5200,6)="MV15AX",LEFT(K5200,4)="CTAX",LEFT(K5200,2)="W|"),2*N5200*O5200,0)</f>
        <v/>
      </c>
      <c r="Z5200" s="12" t="inlineStr">
        <is>
          <t>VD 0.4 %</t>
        </is>
      </c>
      <c r="AA5200" s="12">
        <f>N5200*O5200</f>
        <v/>
      </c>
    </row>
    <row r="5201">
      <c r="A5201" s="12" t="inlineStr">
        <is>
          <t>I-P-0022</t>
        </is>
      </c>
      <c r="B5201" s="12" t="inlineStr">
        <is>
          <t>I</t>
        </is>
      </c>
      <c r="C5201" s="12" t="inlineStr">
        <is>
          <t>Modular / portable power</t>
        </is>
      </c>
      <c r="D5201" s="12" t="inlineStr">
        <is>
          <t>FC-6 SOFC output to inverter / AC cabinet</t>
        </is>
      </c>
      <c r="E5201" s="12" t="inlineStr">
        <is>
          <t>FC-6</t>
        </is>
      </c>
      <c r="F5201" s="12" t="inlineStr">
        <is>
          <t>FC-6: SOFC module (200-300 kW class)</t>
        </is>
      </c>
      <c r="G5201" s="12" t="inlineStr"/>
      <c r="H5201" s="12" t="inlineStr">
        <is>
          <t>FC-5..8 inverter / AC cabinet / desulfurizer</t>
        </is>
      </c>
      <c r="I5201" s="12" t="inlineStr">
        <is>
          <t>LV 600 V</t>
        </is>
      </c>
      <c r="J5201" s="12" t="inlineStr">
        <is>
          <t>Type TC-ER 600 V 3/C Cu XHHW-2 + ground, PVC jacket</t>
        </is>
      </c>
      <c r="K5201" s="12" t="inlineStr">
        <is>
          <t>LV|3/C+G|3/0</t>
        </is>
      </c>
      <c r="L5201" s="12" t="inlineStr">
        <is>
          <t>3/C+G</t>
        </is>
      </c>
      <c r="M5201" s="12" t="inlineStr">
        <is>
          <t>3/0</t>
        </is>
      </c>
      <c r="N5201" s="12" t="n">
        <v>2</v>
      </c>
      <c r="O5201" s="12" t="n">
        <v>1</v>
      </c>
      <c r="P5201" s="12" t="n">
        <v>480</v>
      </c>
      <c r="Q5201" s="12" t="n">
        <v>250</v>
      </c>
      <c r="R5201" s="12" t="n">
        <v>316.5</v>
      </c>
      <c r="S5201" s="12" t="inlineStr">
        <is>
          <t>Surface</t>
        </is>
      </c>
      <c r="T5201" s="15" t="n">
        <v>40</v>
      </c>
      <c r="U5201" s="15" t="n">
        <v>27</v>
      </c>
      <c r="V5201" s="15">
        <f>ROUNDUP((T5201+U5201+2*'Read Me'!$B$13)*(1+'Read Me'!$B$12),-1)</f>
        <v/>
      </c>
      <c r="W5201" s="15">
        <f>V5201*N5201*O5201</f>
        <v/>
      </c>
      <c r="X5201" s="12">
        <f>IF(LEFT(I5201,2)="MV",2*N5201*IF(L5201="1/C",O5201,1),0)</f>
        <v/>
      </c>
      <c r="Y5201" s="12">
        <f>IF(OR(LEFT(K5201,4)="LVAX",LEFT(K5201,6)="MV15AX",LEFT(K5201,4)="CTAX",LEFT(K5201,2)="W|"),2*N5201*O5201,0)</f>
        <v/>
      </c>
      <c r="Z5201" s="12" t="inlineStr">
        <is>
          <t>VD 0.3 %</t>
        </is>
      </c>
      <c r="AA5201" s="12">
        <f>N5201*O5201</f>
        <v/>
      </c>
    </row>
    <row r="5202">
      <c r="A5202" s="12" t="inlineStr">
        <is>
          <t>I-P-0023</t>
        </is>
      </c>
      <c r="B5202" s="12" t="inlineStr">
        <is>
          <t>I</t>
        </is>
      </c>
      <c r="C5202" s="12" t="inlineStr">
        <is>
          <t>Modular / portable power</t>
        </is>
      </c>
      <c r="D5202" s="12" t="inlineStr">
        <is>
          <t>FC-7 SOFC output to inverter / AC cabinet</t>
        </is>
      </c>
      <c r="E5202" s="12" t="inlineStr">
        <is>
          <t>FC-7</t>
        </is>
      </c>
      <c r="F5202" s="12" t="inlineStr">
        <is>
          <t>FC-7: SOFC module (200-300 kW class)</t>
        </is>
      </c>
      <c r="G5202" s="12" t="inlineStr"/>
      <c r="H5202" s="12" t="inlineStr">
        <is>
          <t>FC-5..8 inverter / AC cabinet / desulfurizer</t>
        </is>
      </c>
      <c r="I5202" s="12" t="inlineStr">
        <is>
          <t>LV 600 V</t>
        </is>
      </c>
      <c r="J5202" s="12" t="inlineStr">
        <is>
          <t>Type TC-ER 600 V 3/C Cu XHHW-2 + ground, PVC jacket</t>
        </is>
      </c>
      <c r="K5202" s="12" t="inlineStr">
        <is>
          <t>LV|3/C+G|3/0</t>
        </is>
      </c>
      <c r="L5202" s="12" t="inlineStr">
        <is>
          <t>3/C+G</t>
        </is>
      </c>
      <c r="M5202" s="12" t="inlineStr">
        <is>
          <t>3/0</t>
        </is>
      </c>
      <c r="N5202" s="12" t="n">
        <v>2</v>
      </c>
      <c r="O5202" s="12" t="n">
        <v>1</v>
      </c>
      <c r="P5202" s="12" t="n">
        <v>480</v>
      </c>
      <c r="Q5202" s="12" t="n">
        <v>250</v>
      </c>
      <c r="R5202" s="12" t="n">
        <v>316.5</v>
      </c>
      <c r="S5202" s="12" t="inlineStr">
        <is>
          <t>Surface</t>
        </is>
      </c>
      <c r="T5202" s="15" t="n">
        <v>29</v>
      </c>
      <c r="U5202" s="15" t="n">
        <v>27</v>
      </c>
      <c r="V5202" s="15">
        <f>ROUNDUP((T5202+U5202+2*'Read Me'!$B$13)*(1+'Read Me'!$B$12),-1)</f>
        <v/>
      </c>
      <c r="W5202" s="15">
        <f>V5202*N5202*O5202</f>
        <v/>
      </c>
      <c r="X5202" s="12">
        <f>IF(LEFT(I5202,2)="MV",2*N5202*IF(L5202="1/C",O5202,1),0)</f>
        <v/>
      </c>
      <c r="Y5202" s="12">
        <f>IF(OR(LEFT(K5202,4)="LVAX",LEFT(K5202,6)="MV15AX",LEFT(K5202,4)="CTAX",LEFT(K5202,2)="W|"),2*N5202*O5202,0)</f>
        <v/>
      </c>
      <c r="Z5202" s="12" t="inlineStr">
        <is>
          <t>VD 0.3 %</t>
        </is>
      </c>
      <c r="AA5202" s="12">
        <f>N5202*O5202</f>
        <v/>
      </c>
    </row>
    <row r="5203">
      <c r="A5203" s="12" t="inlineStr">
        <is>
          <t>I-P-0024</t>
        </is>
      </c>
      <c r="B5203" s="12" t="inlineStr">
        <is>
          <t>I</t>
        </is>
      </c>
      <c r="C5203" s="12" t="inlineStr">
        <is>
          <t>Modular / portable power</t>
        </is>
      </c>
      <c r="D5203" s="12" t="inlineStr">
        <is>
          <t>FC-8 SOFC output to inverter / AC cabinet</t>
        </is>
      </c>
      <c r="E5203" s="12" t="inlineStr">
        <is>
          <t>FC-8</t>
        </is>
      </c>
      <c r="F5203" s="12" t="inlineStr">
        <is>
          <t>FC-8: SOFC module (200-300 kW class)</t>
        </is>
      </c>
      <c r="G5203" s="12" t="inlineStr"/>
      <c r="H5203" s="12" t="inlineStr">
        <is>
          <t>FC-5..8 inverter / AC cabinet / desulfurizer</t>
        </is>
      </c>
      <c r="I5203" s="12" t="inlineStr">
        <is>
          <t>LV 600 V</t>
        </is>
      </c>
      <c r="J5203" s="12" t="inlineStr">
        <is>
          <t>Type TC-ER 600 V 3/C Cu XHHW-2 + ground, PVC jacket</t>
        </is>
      </c>
      <c r="K5203" s="12" t="inlineStr">
        <is>
          <t>LV|3/C+G|3/0</t>
        </is>
      </c>
      <c r="L5203" s="12" t="inlineStr">
        <is>
          <t>3/C+G</t>
        </is>
      </c>
      <c r="M5203" s="12" t="inlineStr">
        <is>
          <t>3/0</t>
        </is>
      </c>
      <c r="N5203" s="12" t="n">
        <v>2</v>
      </c>
      <c r="O5203" s="12" t="n">
        <v>1</v>
      </c>
      <c r="P5203" s="12" t="n">
        <v>480</v>
      </c>
      <c r="Q5203" s="12" t="n">
        <v>250</v>
      </c>
      <c r="R5203" s="12" t="n">
        <v>316.5</v>
      </c>
      <c r="S5203" s="12" t="inlineStr">
        <is>
          <t>Tray</t>
        </is>
      </c>
      <c r="T5203" s="15" t="n">
        <v>2</v>
      </c>
      <c r="U5203" s="15" t="n">
        <v>27</v>
      </c>
      <c r="V5203" s="15">
        <f>ROUNDUP((T5203+U5203+2*'Read Me'!$B$13)*(1+'Read Me'!$B$12),-1)</f>
        <v/>
      </c>
      <c r="W5203" s="15">
        <f>V5203*N5203*O5203</f>
        <v/>
      </c>
      <c r="X5203" s="12">
        <f>IF(LEFT(I5203,2)="MV",2*N5203*IF(L5203="1/C",O5203,1),0)</f>
        <v/>
      </c>
      <c r="Y5203" s="12">
        <f>IF(OR(LEFT(K5203,4)="LVAX",LEFT(K5203,6)="MV15AX",LEFT(K5203,4)="CTAX",LEFT(K5203,2)="W|"),2*N5203*O5203,0)</f>
        <v/>
      </c>
      <c r="Z5203" s="12" t="inlineStr">
        <is>
          <t>VD 0.1 %</t>
        </is>
      </c>
      <c r="AA5203" s="12">
        <f>N5203*O5203</f>
        <v/>
      </c>
    </row>
    <row r="5204">
      <c r="A5204" s="12" t="inlineStr">
        <is>
          <t>I-P-0025</t>
        </is>
      </c>
      <c r="B5204" s="12" t="inlineStr">
        <is>
          <t>I</t>
        </is>
      </c>
      <c r="C5204" s="12" t="inlineStr">
        <is>
          <t>Modular / portable power</t>
        </is>
      </c>
      <c r="D5204" s="12" t="inlineStr">
        <is>
          <t>Motor 1 of 6, 15 kW</t>
        </is>
      </c>
      <c r="E5204" s="12" t="inlineStr"/>
      <c r="F5204" s="12" t="inlineStr">
        <is>
          <t>SC-2 PCM + 15 kV GCB</t>
        </is>
      </c>
      <c r="G5204" s="12" t="inlineStr"/>
      <c r="H5204" s="12" t="inlineStr">
        <is>
          <t>Fuel-gas compressors 3 x 100% electric</t>
        </is>
      </c>
      <c r="I5204" s="12" t="inlineStr">
        <is>
          <t>LV 600 V</t>
        </is>
      </c>
      <c r="J5204" s="12" t="inlineStr">
        <is>
          <t>ARMOR-X MC-HL 600 V 3/C Cu XHHW-2 + ground, CWA, black PVC (Class I Div 2)</t>
        </is>
      </c>
      <c r="K5204" s="12" t="inlineStr">
        <is>
          <t>LVAX|3/C+G|10</t>
        </is>
      </c>
      <c r="L5204" s="12" t="inlineStr">
        <is>
          <t>3/C+G</t>
        </is>
      </c>
      <c r="M5204" s="12" t="inlineStr">
        <is>
          <t>10</t>
        </is>
      </c>
      <c r="N5204" s="12" t="n">
        <v>1</v>
      </c>
      <c r="O5204" s="12" t="n">
        <v>1</v>
      </c>
      <c r="P5204" s="12" t="n">
        <v>480</v>
      </c>
      <c r="Q5204" s="12" t="n">
        <v>15</v>
      </c>
      <c r="R5204" s="12" t="n">
        <v>21.2</v>
      </c>
      <c r="S5204" s="12" t="inlineStr">
        <is>
          <t>Duct bank</t>
        </is>
      </c>
      <c r="T5204" s="15" t="n">
        <v>8</v>
      </c>
      <c r="U5204" s="15" t="n">
        <v>108</v>
      </c>
      <c r="V5204" s="15">
        <f>ROUNDUP((T5204+U5204+2*'Read Me'!$B$13)*(1+'Read Me'!$B$12),-1)</f>
        <v/>
      </c>
      <c r="W5204" s="15">
        <f>V5204*N5204*O5204</f>
        <v/>
      </c>
      <c r="X5204" s="12">
        <f>IF(LEFT(I5204,2)="MV",2*N5204*IF(L5204="1/C",O5204,1),0)</f>
        <v/>
      </c>
      <c r="Y5204" s="12">
        <f>IF(OR(LEFT(K5204,4)="LVAX",LEFT(K5204,6)="MV15AX",LEFT(K5204,4)="CTAX",LEFT(K5204,2)="W|"),2*N5204*O5204,0)</f>
        <v/>
      </c>
      <c r="Z5204" s="12" t="inlineStr">
        <is>
          <t>VD 1.2 %</t>
        </is>
      </c>
      <c r="AA5204" s="12">
        <f>N5204*O5204</f>
        <v/>
      </c>
    </row>
    <row r="5205">
      <c r="A5205" s="12" t="inlineStr">
        <is>
          <t>I-P-0026</t>
        </is>
      </c>
      <c r="B5205" s="12" t="inlineStr">
        <is>
          <t>I</t>
        </is>
      </c>
      <c r="C5205" s="12" t="inlineStr">
        <is>
          <t>Modular / portable power</t>
        </is>
      </c>
      <c r="D5205" s="12" t="inlineStr">
        <is>
          <t>Motor 2 of 6, 15 kW</t>
        </is>
      </c>
      <c r="E5205" s="12" t="inlineStr"/>
      <c r="F5205" s="12" t="inlineStr">
        <is>
          <t>SC-2 PCM + 15 kV GCB</t>
        </is>
      </c>
      <c r="G5205" s="12" t="inlineStr"/>
      <c r="H5205" s="12" t="inlineStr">
        <is>
          <t>Fuel-gas compressors 3 x 100% electric</t>
        </is>
      </c>
      <c r="I5205" s="12" t="inlineStr">
        <is>
          <t>LV 600 V</t>
        </is>
      </c>
      <c r="J5205" s="12" t="inlineStr">
        <is>
          <t>ARMOR-X MC-HL 600 V 3/C Cu XHHW-2 + ground, CWA, black PVC (Class I Div 2)</t>
        </is>
      </c>
      <c r="K5205" s="12" t="inlineStr">
        <is>
          <t>LVAX|3/C+G|10</t>
        </is>
      </c>
      <c r="L5205" s="12" t="inlineStr">
        <is>
          <t>3/C+G</t>
        </is>
      </c>
      <c r="M5205" s="12" t="inlineStr">
        <is>
          <t>10</t>
        </is>
      </c>
      <c r="N5205" s="12" t="n">
        <v>1</v>
      </c>
      <c r="O5205" s="12" t="n">
        <v>1</v>
      </c>
      <c r="P5205" s="12" t="n">
        <v>480</v>
      </c>
      <c r="Q5205" s="12" t="n">
        <v>15</v>
      </c>
      <c r="R5205" s="12" t="n">
        <v>21.2</v>
      </c>
      <c r="S5205" s="12" t="inlineStr">
        <is>
          <t>Duct bank</t>
        </is>
      </c>
      <c r="T5205" s="15" t="n">
        <v>8</v>
      </c>
      <c r="U5205" s="15" t="n">
        <v>108</v>
      </c>
      <c r="V5205" s="15">
        <f>ROUNDUP((T5205+U5205+2*'Read Me'!$B$13)*(1+'Read Me'!$B$12),-1)</f>
        <v/>
      </c>
      <c r="W5205" s="15">
        <f>V5205*N5205*O5205</f>
        <v/>
      </c>
      <c r="X5205" s="12">
        <f>IF(LEFT(I5205,2)="MV",2*N5205*IF(L5205="1/C",O5205,1),0)</f>
        <v/>
      </c>
      <c r="Y5205" s="12">
        <f>IF(OR(LEFT(K5205,4)="LVAX",LEFT(K5205,6)="MV15AX",LEFT(K5205,4)="CTAX",LEFT(K5205,2)="W|"),2*N5205*O5205,0)</f>
        <v/>
      </c>
      <c r="Z5205" s="12" t="inlineStr">
        <is>
          <t>VD 1.2 %</t>
        </is>
      </c>
      <c r="AA5205" s="12">
        <f>N5205*O5205</f>
        <v/>
      </c>
    </row>
    <row r="5206">
      <c r="A5206" s="12" t="inlineStr">
        <is>
          <t>I-P-0027</t>
        </is>
      </c>
      <c r="B5206" s="12" t="inlineStr">
        <is>
          <t>I</t>
        </is>
      </c>
      <c r="C5206" s="12" t="inlineStr">
        <is>
          <t>Modular / portable power</t>
        </is>
      </c>
      <c r="D5206" s="12" t="inlineStr">
        <is>
          <t>Motor 3 of 6, 15 kW</t>
        </is>
      </c>
      <c r="E5206" s="12" t="inlineStr"/>
      <c r="F5206" s="12" t="inlineStr">
        <is>
          <t>SC-2 PCM + 15 kV GCB</t>
        </is>
      </c>
      <c r="G5206" s="12" t="inlineStr"/>
      <c r="H5206" s="12" t="inlineStr">
        <is>
          <t>Fuel-gas compressors 3 x 100% electric</t>
        </is>
      </c>
      <c r="I5206" s="12" t="inlineStr">
        <is>
          <t>LV 600 V</t>
        </is>
      </c>
      <c r="J5206" s="12" t="inlineStr">
        <is>
          <t>ARMOR-X MC-HL 600 V 3/C Cu XHHW-2 + ground, CWA, black PVC (Class I Div 2)</t>
        </is>
      </c>
      <c r="K5206" s="12" t="inlineStr">
        <is>
          <t>LVAX|3/C+G|10</t>
        </is>
      </c>
      <c r="L5206" s="12" t="inlineStr">
        <is>
          <t>3/C+G</t>
        </is>
      </c>
      <c r="M5206" s="12" t="inlineStr">
        <is>
          <t>10</t>
        </is>
      </c>
      <c r="N5206" s="12" t="n">
        <v>1</v>
      </c>
      <c r="O5206" s="12" t="n">
        <v>1</v>
      </c>
      <c r="P5206" s="12" t="n">
        <v>480</v>
      </c>
      <c r="Q5206" s="12" t="n">
        <v>15</v>
      </c>
      <c r="R5206" s="12" t="n">
        <v>21.2</v>
      </c>
      <c r="S5206" s="12" t="inlineStr">
        <is>
          <t>Duct bank</t>
        </is>
      </c>
      <c r="T5206" s="15" t="n">
        <v>8</v>
      </c>
      <c r="U5206" s="15" t="n">
        <v>108</v>
      </c>
      <c r="V5206" s="15">
        <f>ROUNDUP((T5206+U5206+2*'Read Me'!$B$13)*(1+'Read Me'!$B$12),-1)</f>
        <v/>
      </c>
      <c r="W5206" s="15">
        <f>V5206*N5206*O5206</f>
        <v/>
      </c>
      <c r="X5206" s="12">
        <f>IF(LEFT(I5206,2)="MV",2*N5206*IF(L5206="1/C",O5206,1),0)</f>
        <v/>
      </c>
      <c r="Y5206" s="12">
        <f>IF(OR(LEFT(K5206,4)="LVAX",LEFT(K5206,6)="MV15AX",LEFT(K5206,4)="CTAX",LEFT(K5206,2)="W|"),2*N5206*O5206,0)</f>
        <v/>
      </c>
      <c r="Z5206" s="12" t="inlineStr">
        <is>
          <t>VD 1.2 %</t>
        </is>
      </c>
      <c r="AA5206" s="12">
        <f>N5206*O5206</f>
        <v/>
      </c>
    </row>
    <row r="5207">
      <c r="A5207" s="12" t="inlineStr">
        <is>
          <t>I-P-0028</t>
        </is>
      </c>
      <c r="B5207" s="12" t="inlineStr">
        <is>
          <t>I</t>
        </is>
      </c>
      <c r="C5207" s="12" t="inlineStr">
        <is>
          <t>Modular / portable power</t>
        </is>
      </c>
      <c r="D5207" s="12" t="inlineStr">
        <is>
          <t>Motor 4 of 6, 15 kW</t>
        </is>
      </c>
      <c r="E5207" s="12" t="inlineStr"/>
      <c r="F5207" s="12" t="inlineStr">
        <is>
          <t>SC-2 PCM + 15 kV GCB</t>
        </is>
      </c>
      <c r="G5207" s="12" t="inlineStr"/>
      <c r="H5207" s="12" t="inlineStr">
        <is>
          <t>Fuel-gas compressors 3 x 100% electric</t>
        </is>
      </c>
      <c r="I5207" s="12" t="inlineStr">
        <is>
          <t>LV 600 V</t>
        </is>
      </c>
      <c r="J5207" s="12" t="inlineStr">
        <is>
          <t>ARMOR-X MC-HL 600 V 3/C Cu XHHW-2 + ground, CWA, black PVC (Class I Div 2)</t>
        </is>
      </c>
      <c r="K5207" s="12" t="inlineStr">
        <is>
          <t>LVAX|3/C+G|10</t>
        </is>
      </c>
      <c r="L5207" s="12" t="inlineStr">
        <is>
          <t>3/C+G</t>
        </is>
      </c>
      <c r="M5207" s="12" t="inlineStr">
        <is>
          <t>10</t>
        </is>
      </c>
      <c r="N5207" s="12" t="n">
        <v>1</v>
      </c>
      <c r="O5207" s="12" t="n">
        <v>1</v>
      </c>
      <c r="P5207" s="12" t="n">
        <v>480</v>
      </c>
      <c r="Q5207" s="12" t="n">
        <v>15</v>
      </c>
      <c r="R5207" s="12" t="n">
        <v>21.2</v>
      </c>
      <c r="S5207" s="12" t="inlineStr">
        <is>
          <t>Duct bank</t>
        </is>
      </c>
      <c r="T5207" s="15" t="n">
        <v>8</v>
      </c>
      <c r="U5207" s="15" t="n">
        <v>108</v>
      </c>
      <c r="V5207" s="15">
        <f>ROUNDUP((T5207+U5207+2*'Read Me'!$B$13)*(1+'Read Me'!$B$12),-1)</f>
        <v/>
      </c>
      <c r="W5207" s="15">
        <f>V5207*N5207*O5207</f>
        <v/>
      </c>
      <c r="X5207" s="12">
        <f>IF(LEFT(I5207,2)="MV",2*N5207*IF(L5207="1/C",O5207,1),0)</f>
        <v/>
      </c>
      <c r="Y5207" s="12">
        <f>IF(OR(LEFT(K5207,4)="LVAX",LEFT(K5207,6)="MV15AX",LEFT(K5207,4)="CTAX",LEFT(K5207,2)="W|"),2*N5207*O5207,0)</f>
        <v/>
      </c>
      <c r="Z5207" s="12" t="inlineStr">
        <is>
          <t>VD 1.2 %</t>
        </is>
      </c>
      <c r="AA5207" s="12">
        <f>N5207*O5207</f>
        <v/>
      </c>
    </row>
    <row r="5208">
      <c r="A5208" s="12" t="inlineStr">
        <is>
          <t>I-P-0029</t>
        </is>
      </c>
      <c r="B5208" s="12" t="inlineStr">
        <is>
          <t>I</t>
        </is>
      </c>
      <c r="C5208" s="12" t="inlineStr">
        <is>
          <t>Modular / portable power</t>
        </is>
      </c>
      <c r="D5208" s="12" t="inlineStr">
        <is>
          <t>Motor 5 of 6, 15 kW</t>
        </is>
      </c>
      <c r="E5208" s="12" t="inlineStr"/>
      <c r="F5208" s="12" t="inlineStr">
        <is>
          <t>SC-2 PCM + 15 kV GCB</t>
        </is>
      </c>
      <c r="G5208" s="12" t="inlineStr"/>
      <c r="H5208" s="12" t="inlineStr">
        <is>
          <t>Fuel-gas compressors 3 x 100% electric</t>
        </is>
      </c>
      <c r="I5208" s="12" t="inlineStr">
        <is>
          <t>LV 600 V</t>
        </is>
      </c>
      <c r="J5208" s="12" t="inlineStr">
        <is>
          <t>ARMOR-X MC-HL 600 V 3/C Cu XHHW-2 + ground, CWA, black PVC (Class I Div 2)</t>
        </is>
      </c>
      <c r="K5208" s="12" t="inlineStr">
        <is>
          <t>LVAX|3/C+G|10</t>
        </is>
      </c>
      <c r="L5208" s="12" t="inlineStr">
        <is>
          <t>3/C+G</t>
        </is>
      </c>
      <c r="M5208" s="12" t="inlineStr">
        <is>
          <t>10</t>
        </is>
      </c>
      <c r="N5208" s="12" t="n">
        <v>1</v>
      </c>
      <c r="O5208" s="12" t="n">
        <v>1</v>
      </c>
      <c r="P5208" s="12" t="n">
        <v>480</v>
      </c>
      <c r="Q5208" s="12" t="n">
        <v>15</v>
      </c>
      <c r="R5208" s="12" t="n">
        <v>21.2</v>
      </c>
      <c r="S5208" s="12" t="inlineStr">
        <is>
          <t>Duct bank</t>
        </is>
      </c>
      <c r="T5208" s="15" t="n">
        <v>8</v>
      </c>
      <c r="U5208" s="15" t="n">
        <v>108</v>
      </c>
      <c r="V5208" s="15">
        <f>ROUNDUP((T5208+U5208+2*'Read Me'!$B$13)*(1+'Read Me'!$B$12),-1)</f>
        <v/>
      </c>
      <c r="W5208" s="15">
        <f>V5208*N5208*O5208</f>
        <v/>
      </c>
      <c r="X5208" s="12">
        <f>IF(LEFT(I5208,2)="MV",2*N5208*IF(L5208="1/C",O5208,1),0)</f>
        <v/>
      </c>
      <c r="Y5208" s="12">
        <f>IF(OR(LEFT(K5208,4)="LVAX",LEFT(K5208,6)="MV15AX",LEFT(K5208,4)="CTAX",LEFT(K5208,2)="W|"),2*N5208*O5208,0)</f>
        <v/>
      </c>
      <c r="Z5208" s="12" t="inlineStr">
        <is>
          <t>VD 1.2 %</t>
        </is>
      </c>
      <c r="AA5208" s="12">
        <f>N5208*O5208</f>
        <v/>
      </c>
    </row>
    <row r="5209">
      <c r="A5209" s="12" t="inlineStr">
        <is>
          <t>I-P-0030</t>
        </is>
      </c>
      <c r="B5209" s="12" t="inlineStr">
        <is>
          <t>I</t>
        </is>
      </c>
      <c r="C5209" s="12" t="inlineStr">
        <is>
          <t>Modular / portable power</t>
        </is>
      </c>
      <c r="D5209" s="12" t="inlineStr">
        <is>
          <t>Motor 6 of 6, 15 kW</t>
        </is>
      </c>
      <c r="E5209" s="12" t="inlineStr"/>
      <c r="F5209" s="12" t="inlineStr">
        <is>
          <t>SC-2 PCM + 15 kV GCB</t>
        </is>
      </c>
      <c r="G5209" s="12" t="inlineStr"/>
      <c r="H5209" s="12" t="inlineStr">
        <is>
          <t>Fuel-gas compressors 3 x 100% electric</t>
        </is>
      </c>
      <c r="I5209" s="12" t="inlineStr">
        <is>
          <t>LV 600 V</t>
        </is>
      </c>
      <c r="J5209" s="12" t="inlineStr">
        <is>
          <t>ARMOR-X MC-HL 600 V 3/C Cu XHHW-2 + ground, CWA, black PVC (Class I Div 2)</t>
        </is>
      </c>
      <c r="K5209" s="12" t="inlineStr">
        <is>
          <t>LVAX|3/C+G|10</t>
        </is>
      </c>
      <c r="L5209" s="12" t="inlineStr">
        <is>
          <t>3/C+G</t>
        </is>
      </c>
      <c r="M5209" s="12" t="inlineStr">
        <is>
          <t>10</t>
        </is>
      </c>
      <c r="N5209" s="12" t="n">
        <v>1</v>
      </c>
      <c r="O5209" s="12" t="n">
        <v>1</v>
      </c>
      <c r="P5209" s="12" t="n">
        <v>480</v>
      </c>
      <c r="Q5209" s="12" t="n">
        <v>15</v>
      </c>
      <c r="R5209" s="12" t="n">
        <v>21.2</v>
      </c>
      <c r="S5209" s="12" t="inlineStr">
        <is>
          <t>Duct bank</t>
        </is>
      </c>
      <c r="T5209" s="15" t="n">
        <v>8</v>
      </c>
      <c r="U5209" s="15" t="n">
        <v>108</v>
      </c>
      <c r="V5209" s="15">
        <f>ROUNDUP((T5209+U5209+2*'Read Me'!$B$13)*(1+'Read Me'!$B$12),-1)</f>
        <v/>
      </c>
      <c r="W5209" s="15">
        <f>V5209*N5209*O5209</f>
        <v/>
      </c>
      <c r="X5209" s="12">
        <f>IF(LEFT(I5209,2)="MV",2*N5209*IF(L5209="1/C",O5209,1),0)</f>
        <v/>
      </c>
      <c r="Y5209" s="12">
        <f>IF(OR(LEFT(K5209,4)="LVAX",LEFT(K5209,6)="MV15AX",LEFT(K5209,4)="CTAX",LEFT(K5209,2)="W|"),2*N5209*O5209,0)</f>
        <v/>
      </c>
      <c r="Z5209" s="12" t="inlineStr">
        <is>
          <t>VD 1.2 %</t>
        </is>
      </c>
      <c r="AA5209" s="12">
        <f>N5209*O5209</f>
        <v/>
      </c>
    </row>
    <row r="5210">
      <c r="A5210" s="12" t="inlineStr">
        <is>
          <t>I-P-0031</t>
        </is>
      </c>
      <c r="B5210" s="12" t="inlineStr">
        <is>
          <t>I</t>
        </is>
      </c>
      <c r="C5210" s="12" t="inlineStr">
        <is>
          <t>Modular / portable power</t>
        </is>
      </c>
      <c r="D5210" s="12" t="inlineStr">
        <is>
          <t>GB-1.1 aux power: jacket-water heater, battery charger, enclosure</t>
        </is>
      </c>
      <c r="E5210" s="12" t="inlineStr">
        <is>
          <t>GBC-1</t>
        </is>
      </c>
      <c r="F5210" s="12" t="inlineStr">
        <is>
          <t xml:space="preserve">GBC-1: block GB-1 generator collector box, 480 V outdoor switchboard, </t>
        </is>
      </c>
      <c r="G5210" s="12" t="inlineStr">
        <is>
          <t>GB-1.1</t>
        </is>
      </c>
      <c r="H5210" s="12" t="inlineStr">
        <is>
          <t>GB-1.1: modular gas genset 500 kW, 480 V (block GB-1,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0.7 %</t>
        </is>
      </c>
      <c r="AA5210" s="12">
        <f>N5210*O5210</f>
        <v/>
      </c>
    </row>
    <row r="5211">
      <c r="A5211" s="12" t="inlineStr">
        <is>
          <t>I-P-0032</t>
        </is>
      </c>
      <c r="B5211" s="12" t="inlineStr">
        <is>
          <t>I</t>
        </is>
      </c>
      <c r="C5211" s="12" t="inlineStr">
        <is>
          <t>Modular / portable power</t>
        </is>
      </c>
      <c r="D5211" s="12" t="inlineStr">
        <is>
          <t>GB-1.2 aux power: jacket-water heater, battery charger, enclosure</t>
        </is>
      </c>
      <c r="E5211" s="12" t="inlineStr">
        <is>
          <t>GBC-1</t>
        </is>
      </c>
      <c r="F5211" s="12" t="inlineStr">
        <is>
          <t xml:space="preserve">GBC-1: block GB-1 generator collector box, 480 V outdoor switchboard, </t>
        </is>
      </c>
      <c r="G5211" s="12" t="inlineStr">
        <is>
          <t>GB-1.2</t>
        </is>
      </c>
      <c r="H5211" s="12" t="inlineStr">
        <is>
          <t>GB-1.2: modular gas genset 500 kW, 480 V (block GB-1,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I-P-0033</t>
        </is>
      </c>
      <c r="B5212" s="12" t="inlineStr">
        <is>
          <t>I</t>
        </is>
      </c>
      <c r="C5212" s="12" t="inlineStr">
        <is>
          <t>Modular / portable power</t>
        </is>
      </c>
      <c r="D5212" s="12" t="inlineStr">
        <is>
          <t>GB-1.3 aux power: jacket-water heater, battery charger, enclosure</t>
        </is>
      </c>
      <c r="E5212" s="12" t="inlineStr">
        <is>
          <t>GBC-1</t>
        </is>
      </c>
      <c r="F5212" s="12" t="inlineStr">
        <is>
          <t xml:space="preserve">GBC-1: block GB-1 generator collector box, 480 V outdoor switchboard, </t>
        </is>
      </c>
      <c r="G5212" s="12" t="inlineStr">
        <is>
          <t>GB-1.3</t>
        </is>
      </c>
      <c r="H5212" s="12" t="inlineStr">
        <is>
          <t>GB-1.3: modular gas genset 500 kW, 480 V (block GB-1,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I-P-0034</t>
        </is>
      </c>
      <c r="B5213" s="12" t="inlineStr">
        <is>
          <t>I</t>
        </is>
      </c>
      <c r="C5213" s="12" t="inlineStr">
        <is>
          <t>Modular / portable power</t>
        </is>
      </c>
      <c r="D5213" s="12" t="inlineStr">
        <is>
          <t>GB-1.4 aux power: jacket-water heater, battery charger, enclosure</t>
        </is>
      </c>
      <c r="E5213" s="12" t="inlineStr">
        <is>
          <t>GBC-1</t>
        </is>
      </c>
      <c r="F5213" s="12" t="inlineStr">
        <is>
          <t xml:space="preserve">GBC-1: block GB-1 generator collector box, 480 V outdoor switchboard, </t>
        </is>
      </c>
      <c r="G5213" s="12" t="inlineStr">
        <is>
          <t>GB-1.4</t>
        </is>
      </c>
      <c r="H5213" s="12" t="inlineStr">
        <is>
          <t>GB-1.4: modular gas genset 500 kW, 480 V (block GB-1,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I-P-0035</t>
        </is>
      </c>
      <c r="B5214" s="12" t="inlineStr">
        <is>
          <t>I</t>
        </is>
      </c>
      <c r="C5214" s="12" t="inlineStr">
        <is>
          <t>Modular / portable power</t>
        </is>
      </c>
      <c r="D5214" s="12" t="inlineStr">
        <is>
          <t>GB-1.5 aux power: jacket-water heater, battery charger, enclosure</t>
        </is>
      </c>
      <c r="E5214" s="12" t="inlineStr">
        <is>
          <t>GBC-1</t>
        </is>
      </c>
      <c r="F5214" s="12" t="inlineStr">
        <is>
          <t xml:space="preserve">GBC-1: block GB-1 generator collector box, 480 V outdoor switchboard, </t>
        </is>
      </c>
      <c r="G5214" s="12" t="inlineStr">
        <is>
          <t>GB-1.5</t>
        </is>
      </c>
      <c r="H5214" s="12" t="inlineStr">
        <is>
          <t>GB-1.5: modular gas genset 500 kW, 480 V (block GB-1,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I-P-0036</t>
        </is>
      </c>
      <c r="B5215" s="12" t="inlineStr">
        <is>
          <t>I</t>
        </is>
      </c>
      <c r="C5215" s="12" t="inlineStr">
        <is>
          <t>Modular / portable power</t>
        </is>
      </c>
      <c r="D5215" s="12" t="inlineStr">
        <is>
          <t>GB-2.1 aux power: jacket-water heater, battery charger, enclosure</t>
        </is>
      </c>
      <c r="E5215" s="12" t="inlineStr">
        <is>
          <t>GBC-2</t>
        </is>
      </c>
      <c r="F5215" s="12" t="inlineStr">
        <is>
          <t xml:space="preserve">GBC-2: block GB-2 generator collector box, 480 V outdoor switchboard, </t>
        </is>
      </c>
      <c r="G5215" s="12" t="inlineStr">
        <is>
          <t>GB-2.1</t>
        </is>
      </c>
      <c r="H5215" s="12" t="inlineStr">
        <is>
          <t>GB-2.1: modular gas genset 500 kW, 480 V (block GB-2, unit 1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0.7 %</t>
        </is>
      </c>
      <c r="AA5215" s="12">
        <f>N5215*O5215</f>
        <v/>
      </c>
    </row>
    <row r="5216">
      <c r="A5216" s="12" t="inlineStr">
        <is>
          <t>I-P-0037</t>
        </is>
      </c>
      <c r="B5216" s="12" t="inlineStr">
        <is>
          <t>I</t>
        </is>
      </c>
      <c r="C5216" s="12" t="inlineStr">
        <is>
          <t>Modular / portable power</t>
        </is>
      </c>
      <c r="D5216" s="12" t="inlineStr">
        <is>
          <t>GB-2.2 aux power: jacket-water heater, battery charger, enclosure</t>
        </is>
      </c>
      <c r="E5216" s="12" t="inlineStr">
        <is>
          <t>GBC-2</t>
        </is>
      </c>
      <c r="F5216" s="12" t="inlineStr">
        <is>
          <t xml:space="preserve">GBC-2: block GB-2 generator collector box, 480 V outdoor switchboard, </t>
        </is>
      </c>
      <c r="G5216" s="12" t="inlineStr">
        <is>
          <t>GB-2.2</t>
        </is>
      </c>
      <c r="H5216" s="12" t="inlineStr">
        <is>
          <t>GB-2.2: modular gas genset 500 kW, 480 V (block GB-2, unit 2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0.6 %</t>
        </is>
      </c>
      <c r="AA5216" s="12">
        <f>N5216*O5216</f>
        <v/>
      </c>
    </row>
    <row r="5217">
      <c r="A5217" s="12" t="inlineStr">
        <is>
          <t>I-P-0038</t>
        </is>
      </c>
      <c r="B5217" s="12" t="inlineStr">
        <is>
          <t>I</t>
        </is>
      </c>
      <c r="C5217" s="12" t="inlineStr">
        <is>
          <t>Modular / portable power</t>
        </is>
      </c>
      <c r="D5217" s="12" t="inlineStr">
        <is>
          <t>GB-2.3 aux power: jacket-water heater, battery charger, enclosure</t>
        </is>
      </c>
      <c r="E5217" s="12" t="inlineStr">
        <is>
          <t>GBC-2</t>
        </is>
      </c>
      <c r="F5217" s="12" t="inlineStr">
        <is>
          <t xml:space="preserve">GBC-2: block GB-2 generator collector box, 480 V outdoor switchboard, </t>
        </is>
      </c>
      <c r="G5217" s="12" t="inlineStr">
        <is>
          <t>GB-2.3</t>
        </is>
      </c>
      <c r="H5217" s="12" t="inlineStr">
        <is>
          <t>GB-2.3: modular gas genset 500 kW, 480 V (block GB-2, unit 3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0.5 %</t>
        </is>
      </c>
      <c r="AA5217" s="12">
        <f>N5217*O5217</f>
        <v/>
      </c>
    </row>
    <row r="5218">
      <c r="A5218" s="12" t="inlineStr">
        <is>
          <t>I-P-0039</t>
        </is>
      </c>
      <c r="B5218" s="12" t="inlineStr">
        <is>
          <t>I</t>
        </is>
      </c>
      <c r="C5218" s="12" t="inlineStr">
        <is>
          <t>Modular / portable power</t>
        </is>
      </c>
      <c r="D5218" s="12" t="inlineStr">
        <is>
          <t>GB-2.4 aux power: jacket-water heater, battery charger, enclosure</t>
        </is>
      </c>
      <c r="E5218" s="12" t="inlineStr">
        <is>
          <t>GBC-2</t>
        </is>
      </c>
      <c r="F5218" s="12" t="inlineStr">
        <is>
          <t xml:space="preserve">GBC-2: block GB-2 generator collector box, 480 V outdoor switchboard, </t>
        </is>
      </c>
      <c r="G5218" s="12" t="inlineStr">
        <is>
          <t>GB-2.4</t>
        </is>
      </c>
      <c r="H5218" s="12" t="inlineStr">
        <is>
          <t>GB-2.4: modular gas genset 500 kW, 480 V (block GB-2, unit 4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VD 0.4 %</t>
        </is>
      </c>
      <c r="AA5218" s="12">
        <f>N5218*O5218</f>
        <v/>
      </c>
    </row>
    <row r="5219">
      <c r="A5219" s="12" t="inlineStr">
        <is>
          <t>I-P-0040</t>
        </is>
      </c>
      <c r="B5219" s="12" t="inlineStr">
        <is>
          <t>I</t>
        </is>
      </c>
      <c r="C5219" s="12" t="inlineStr">
        <is>
          <t>Modular / portable power</t>
        </is>
      </c>
      <c r="D5219" s="12" t="inlineStr">
        <is>
          <t>GB-2.5 aux power: jacket-water heater, battery charger, enclosure</t>
        </is>
      </c>
      <c r="E5219" s="12" t="inlineStr">
        <is>
          <t>GBC-2</t>
        </is>
      </c>
      <c r="F5219" s="12" t="inlineStr">
        <is>
          <t xml:space="preserve">GBC-2: block GB-2 generator collector box, 480 V outdoor switchboard, </t>
        </is>
      </c>
      <c r="G5219" s="12" t="inlineStr">
        <is>
          <t>GB-2.5</t>
        </is>
      </c>
      <c r="H5219" s="12" t="inlineStr">
        <is>
          <t>GB-2.5: modular gas genset 500 kW, 480 V (block GB-2, unit 5 of 5)</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19</v>
      </c>
      <c r="S5219" s="12" t="inlineStr">
        <is>
          <t>Tray</t>
        </is>
      </c>
      <c r="T5219" s="15" t="n">
        <v>0</v>
      </c>
      <c r="U5219" s="15" t="n">
        <v>30</v>
      </c>
      <c r="V5219" s="15">
        <f>ROUNDUP((T5219+U5219+2*'Read Me'!$B$13)*(1+'Read Me'!$B$12),-1)</f>
        <v/>
      </c>
      <c r="W5219" s="15">
        <f>V5219*N5219*O5219</f>
        <v/>
      </c>
      <c r="X5219" s="12">
        <f>IF(LEFT(I5219,2)="MV",2*N5219*IF(L5219="1/C",O5219,1),0)</f>
        <v/>
      </c>
      <c r="Y5219" s="12">
        <f>IF(OR(LEFT(K5219,4)="LVAX",LEFT(K5219,6)="MV15AX",LEFT(K5219,4)="CTAX",LEFT(K5219,2)="W|"),2*N5219*O5219,0)</f>
        <v/>
      </c>
      <c r="Z5219" s="12" t="inlineStr">
        <is>
          <t>VD 0.3 %</t>
        </is>
      </c>
      <c r="AA5219" s="12">
        <f>N5219*O5219</f>
        <v/>
      </c>
    </row>
    <row r="5220">
      <c r="A5220" s="12" t="inlineStr">
        <is>
          <t>I-P-0041</t>
        </is>
      </c>
      <c r="B5220" s="12" t="inlineStr">
        <is>
          <t>I</t>
        </is>
      </c>
      <c r="C5220" s="12" t="inlineStr">
        <is>
          <t>Modular / portable power</t>
        </is>
      </c>
      <c r="D5220" s="12" t="inlineStr">
        <is>
          <t>GB-3.1 aux power: jacket-water heater, battery charger, enclosure</t>
        </is>
      </c>
      <c r="E5220" s="12" t="inlineStr">
        <is>
          <t>GBC-3</t>
        </is>
      </c>
      <c r="F5220" s="12" t="inlineStr">
        <is>
          <t xml:space="preserve">GBC-3: block GB-3 generator collector box, 480 V outdoor switchboard, </t>
        </is>
      </c>
      <c r="G5220" s="12" t="inlineStr">
        <is>
          <t>GB-3.1</t>
        </is>
      </c>
      <c r="H5220" s="12" t="inlineStr">
        <is>
          <t>GB-3.1: modular gas genset 500 kW, 480 V (block GB-3, unit 1 of 5)</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19</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I-P-0042</t>
        </is>
      </c>
      <c r="B5221" s="12" t="inlineStr">
        <is>
          <t>I</t>
        </is>
      </c>
      <c r="C5221" s="12" t="inlineStr">
        <is>
          <t>Modular / portable power</t>
        </is>
      </c>
      <c r="D5221" s="12" t="inlineStr">
        <is>
          <t>GB-3.2 aux power: jacket-water heater, battery charger, enclosure</t>
        </is>
      </c>
      <c r="E5221" s="12" t="inlineStr">
        <is>
          <t>GBC-3</t>
        </is>
      </c>
      <c r="F5221" s="12" t="inlineStr">
        <is>
          <t xml:space="preserve">GBC-3: block GB-3 generator collector box, 480 V outdoor switchboard, </t>
        </is>
      </c>
      <c r="G5221" s="12" t="inlineStr">
        <is>
          <t>GB-3.2</t>
        </is>
      </c>
      <c r="H5221" s="12" t="inlineStr">
        <is>
          <t>GB-3.2: modular gas genset 500 kW, 480 V (block GB-3, unit 2 of 5)</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VD 0.6 %</t>
        </is>
      </c>
      <c r="AA5221" s="12">
        <f>N5221*O5221</f>
        <v/>
      </c>
    </row>
    <row r="5222">
      <c r="A5222" s="12" t="inlineStr">
        <is>
          <t>I-P-0043</t>
        </is>
      </c>
      <c r="B5222" s="12" t="inlineStr">
        <is>
          <t>I</t>
        </is>
      </c>
      <c r="C5222" s="12" t="inlineStr">
        <is>
          <t>Modular / portable power</t>
        </is>
      </c>
      <c r="D5222" s="12" t="inlineStr">
        <is>
          <t>GB-3.3 aux power: jacket-water heater, battery charger, enclosure</t>
        </is>
      </c>
      <c r="E5222" s="12" t="inlineStr">
        <is>
          <t>GBC-3</t>
        </is>
      </c>
      <c r="F5222" s="12" t="inlineStr">
        <is>
          <t xml:space="preserve">GBC-3: block GB-3 generator collector box, 480 V outdoor switchboard, </t>
        </is>
      </c>
      <c r="G5222" s="12" t="inlineStr">
        <is>
          <t>GB-3.3</t>
        </is>
      </c>
      <c r="H5222" s="12" t="inlineStr">
        <is>
          <t>GB-3.3: modular gas genset 500 kW, 480 V (block GB-3, unit 3 of 5)</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15</v>
      </c>
      <c r="R5222" s="12" t="n">
        <v>19</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VD 0.5 %</t>
        </is>
      </c>
      <c r="AA5222" s="12">
        <f>N5222*O5222</f>
        <v/>
      </c>
    </row>
    <row r="5223">
      <c r="A5223" s="12" t="inlineStr">
        <is>
          <t>I-P-0044</t>
        </is>
      </c>
      <c r="B5223" s="12" t="inlineStr">
        <is>
          <t>I</t>
        </is>
      </c>
      <c r="C5223" s="12" t="inlineStr">
        <is>
          <t>Modular / portable power</t>
        </is>
      </c>
      <c r="D5223" s="12" t="inlineStr">
        <is>
          <t>GB-3.4 aux power: jacket-water heater, battery charger, enclosure</t>
        </is>
      </c>
      <c r="E5223" s="12" t="inlineStr">
        <is>
          <t>GBC-3</t>
        </is>
      </c>
      <c r="F5223" s="12" t="inlineStr">
        <is>
          <t xml:space="preserve">GBC-3: block GB-3 generator collector box, 480 V outdoor switchboard, </t>
        </is>
      </c>
      <c r="G5223" s="12" t="inlineStr">
        <is>
          <t>GB-3.4</t>
        </is>
      </c>
      <c r="H5223" s="12" t="inlineStr">
        <is>
          <t>GB-3.4: modular gas genset 500 kW, 480 V (block GB-3, unit 4 of 5)</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15</v>
      </c>
      <c r="R5223" s="12" t="n">
        <v>19</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I-P-0045</t>
        </is>
      </c>
      <c r="B5224" s="12" t="inlineStr">
        <is>
          <t>I</t>
        </is>
      </c>
      <c r="C5224" s="12" t="inlineStr">
        <is>
          <t>Modular / portable power</t>
        </is>
      </c>
      <c r="D5224" s="12" t="inlineStr">
        <is>
          <t>GB-3.5 aux power: jacket-water heater, battery charger, enclosure</t>
        </is>
      </c>
      <c r="E5224" s="12" t="inlineStr">
        <is>
          <t>GBC-3</t>
        </is>
      </c>
      <c r="F5224" s="12" t="inlineStr">
        <is>
          <t xml:space="preserve">GBC-3: block GB-3 generator collector box, 480 V outdoor switchboard, </t>
        </is>
      </c>
      <c r="G5224" s="12" t="inlineStr">
        <is>
          <t>GB-3.5</t>
        </is>
      </c>
      <c r="H5224" s="12" t="inlineStr">
        <is>
          <t>GB-3.5: modular gas genset 500 kW, 480 V (block GB-3, unit 5 of 5)</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19</v>
      </c>
      <c r="S5224" s="12" t="inlineStr">
        <is>
          <t>Tray</t>
        </is>
      </c>
      <c r="T5224" s="15" t="n">
        <v>0</v>
      </c>
      <c r="U5224" s="15" t="n">
        <v>30</v>
      </c>
      <c r="V5224" s="15">
        <f>ROUNDUP((T5224+U5224+2*'Read Me'!$B$13)*(1+'Read Me'!$B$12),-1)</f>
        <v/>
      </c>
      <c r="W5224" s="15">
        <f>V5224*N5224*O5224</f>
        <v/>
      </c>
      <c r="X5224" s="12">
        <f>IF(LEFT(I5224,2)="MV",2*N5224*IF(L5224="1/C",O5224,1),0)</f>
        <v/>
      </c>
      <c r="Y5224" s="12">
        <f>IF(OR(LEFT(K5224,4)="LVAX",LEFT(K5224,6)="MV15AX",LEFT(K5224,4)="CTAX",LEFT(K5224,2)="W|"),2*N5224*O5224,0)</f>
        <v/>
      </c>
      <c r="Z5224" s="12" t="inlineStr">
        <is>
          <t>VD 0.3 %</t>
        </is>
      </c>
      <c r="AA5224" s="12">
        <f>N5224*O5224</f>
        <v/>
      </c>
    </row>
    <row r="5225">
      <c r="A5225" s="12" t="inlineStr">
        <is>
          <t>I-P-0046</t>
        </is>
      </c>
      <c r="B5225" s="12" t="inlineStr">
        <is>
          <t>I</t>
        </is>
      </c>
      <c r="C5225" s="12" t="inlineStr">
        <is>
          <t>Modular / portable power</t>
        </is>
      </c>
      <c r="D5225" s="12" t="inlineStr">
        <is>
          <t>GB-4.1 aux power: jacket-water heater, battery charger, enclosure</t>
        </is>
      </c>
      <c r="E5225" s="12" t="inlineStr">
        <is>
          <t>GBC-4</t>
        </is>
      </c>
      <c r="F5225" s="12" t="inlineStr">
        <is>
          <t xml:space="preserve">GBC-4: block GB-4 generator collector box, 480 V outdoor switchboard, </t>
        </is>
      </c>
      <c r="G5225" s="12" t="inlineStr">
        <is>
          <t>GB-4.1</t>
        </is>
      </c>
      <c r="H5225" s="12" t="inlineStr">
        <is>
          <t>GB-4.1: modular gas genset 500 kW, 480 V (block GB-4, unit 1 of 5)</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19</v>
      </c>
      <c r="S5225" s="12" t="inlineStr">
        <is>
          <t>Surface</t>
        </is>
      </c>
      <c r="T5225" s="15" t="n">
        <v>34</v>
      </c>
      <c r="U5225" s="15" t="n">
        <v>36</v>
      </c>
      <c r="V5225" s="15">
        <f>ROUNDUP((T5225+U5225+2*'Read Me'!$B$13)*(1+'Read Me'!$B$12),-1)</f>
        <v/>
      </c>
      <c r="W5225" s="15">
        <f>V5225*N5225*O5225</f>
        <v/>
      </c>
      <c r="X5225" s="12">
        <f>IF(LEFT(I5225,2)="MV",2*N5225*IF(L5225="1/C",O5225,1),0)</f>
        <v/>
      </c>
      <c r="Y5225" s="12">
        <f>IF(OR(LEFT(K5225,4)="LVAX",LEFT(K5225,6)="MV15AX",LEFT(K5225,4)="CTAX",LEFT(K5225,2)="W|"),2*N5225*O5225,0)</f>
        <v/>
      </c>
      <c r="Z5225" s="12" t="inlineStr">
        <is>
          <t>VD 0.6 %</t>
        </is>
      </c>
      <c r="AA5225" s="12">
        <f>N5225*O5225</f>
        <v/>
      </c>
    </row>
    <row r="5226">
      <c r="A5226" s="12" t="inlineStr">
        <is>
          <t>I-P-0047</t>
        </is>
      </c>
      <c r="B5226" s="12" t="inlineStr">
        <is>
          <t>I</t>
        </is>
      </c>
      <c r="C5226" s="12" t="inlineStr">
        <is>
          <t>Modular / portable power</t>
        </is>
      </c>
      <c r="D5226" s="12" t="inlineStr">
        <is>
          <t>GB-4.2 aux power: jacket-water heater, battery charger, enclosure</t>
        </is>
      </c>
      <c r="E5226" s="12" t="inlineStr">
        <is>
          <t>GBC-4</t>
        </is>
      </c>
      <c r="F5226" s="12" t="inlineStr">
        <is>
          <t xml:space="preserve">GBC-4: block GB-4 generator collector box, 480 V outdoor switchboard, </t>
        </is>
      </c>
      <c r="G5226" s="12" t="inlineStr">
        <is>
          <t>GB-4.2</t>
        </is>
      </c>
      <c r="H5226" s="12" t="inlineStr">
        <is>
          <t>GB-4.2: modular gas genset 500 kW, 480 V (block GB-4, unit 2 of 5)</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19</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VD 0.6 %</t>
        </is>
      </c>
      <c r="AA5226" s="12">
        <f>N5226*O5226</f>
        <v/>
      </c>
    </row>
    <row r="5227">
      <c r="A5227" s="12" t="inlineStr">
        <is>
          <t>I-P-0048</t>
        </is>
      </c>
      <c r="B5227" s="12" t="inlineStr">
        <is>
          <t>I</t>
        </is>
      </c>
      <c r="C5227" s="12" t="inlineStr">
        <is>
          <t>Modular / portable power</t>
        </is>
      </c>
      <c r="D5227" s="12" t="inlineStr">
        <is>
          <t>GB-4.3 aux power: jacket-water heater, battery charger, enclosure</t>
        </is>
      </c>
      <c r="E5227" s="12" t="inlineStr">
        <is>
          <t>GBC-4</t>
        </is>
      </c>
      <c r="F5227" s="12" t="inlineStr">
        <is>
          <t xml:space="preserve">GBC-4: block GB-4 generator collector box, 480 V outdoor switchboard, </t>
        </is>
      </c>
      <c r="G5227" s="12" t="inlineStr">
        <is>
          <t>GB-4.3</t>
        </is>
      </c>
      <c r="H5227" s="12" t="inlineStr">
        <is>
          <t>GB-4.3: modular gas genset 500 kW, 480 V (block GB-4, unit 3 of 5)</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19</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VD 0.5 %</t>
        </is>
      </c>
      <c r="AA5227" s="12">
        <f>N5227*O5227</f>
        <v/>
      </c>
    </row>
    <row r="5228">
      <c r="A5228" s="12" t="inlineStr">
        <is>
          <t>I-P-0049</t>
        </is>
      </c>
      <c r="B5228" s="12" t="inlineStr">
        <is>
          <t>I</t>
        </is>
      </c>
      <c r="C5228" s="12" t="inlineStr">
        <is>
          <t>Modular / portable power</t>
        </is>
      </c>
      <c r="D5228" s="12" t="inlineStr">
        <is>
          <t>GB-4.4 aux power: jacket-water heater, battery charger, enclosure</t>
        </is>
      </c>
      <c r="E5228" s="12" t="inlineStr">
        <is>
          <t>GBC-4</t>
        </is>
      </c>
      <c r="F5228" s="12" t="inlineStr">
        <is>
          <t xml:space="preserve">GBC-4: block GB-4 generator collector box, 480 V outdoor switchboard, </t>
        </is>
      </c>
      <c r="G5228" s="12" t="inlineStr">
        <is>
          <t>GB-4.4</t>
        </is>
      </c>
      <c r="H5228" s="12" t="inlineStr">
        <is>
          <t>GB-4.4: modular gas genset 500 kW, 480 V (block GB-4, unit 4 of 5)</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15</v>
      </c>
      <c r="R5228" s="12" t="n">
        <v>19</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VD 0.4 %</t>
        </is>
      </c>
      <c r="AA5228" s="12">
        <f>N5228*O5228</f>
        <v/>
      </c>
    </row>
    <row r="5229">
      <c r="A5229" s="12" t="inlineStr">
        <is>
          <t>I-P-0050</t>
        </is>
      </c>
      <c r="B5229" s="12" t="inlineStr">
        <is>
          <t>I</t>
        </is>
      </c>
      <c r="C5229" s="12" t="inlineStr">
        <is>
          <t>Modular / portable power</t>
        </is>
      </c>
      <c r="D5229" s="12" t="inlineStr">
        <is>
          <t>GB-4.5 aux power: jacket-water heater, battery charger, enclosure</t>
        </is>
      </c>
      <c r="E5229" s="12" t="inlineStr">
        <is>
          <t>GBC-4</t>
        </is>
      </c>
      <c r="F5229" s="12" t="inlineStr">
        <is>
          <t xml:space="preserve">GBC-4: block GB-4 generator collector box, 480 V outdoor switchboard, </t>
        </is>
      </c>
      <c r="G5229" s="12" t="inlineStr">
        <is>
          <t>GB-4.5</t>
        </is>
      </c>
      <c r="H5229" s="12" t="inlineStr">
        <is>
          <t>GB-4.5: modular gas genset 500 kW, 480 V (block GB-4, unit 5 of 5)</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15</v>
      </c>
      <c r="R5229" s="12" t="n">
        <v>19</v>
      </c>
      <c r="S5229" s="12" t="inlineStr">
        <is>
          <t>Tray</t>
        </is>
      </c>
      <c r="T5229" s="15" t="n">
        <v>0</v>
      </c>
      <c r="U5229" s="15" t="n">
        <v>30</v>
      </c>
      <c r="V5229" s="15">
        <f>ROUNDUP((T5229+U5229+2*'Read Me'!$B$13)*(1+'Read Me'!$B$12),-1)</f>
        <v/>
      </c>
      <c r="W5229" s="15">
        <f>V5229*N5229*O5229</f>
        <v/>
      </c>
      <c r="X5229" s="12">
        <f>IF(LEFT(I5229,2)="MV",2*N5229*IF(L5229="1/C",O5229,1),0)</f>
        <v/>
      </c>
      <c r="Y5229" s="12">
        <f>IF(OR(LEFT(K5229,4)="LVAX",LEFT(K5229,6)="MV15AX",LEFT(K5229,4)="CTAX",LEFT(K5229,2)="W|"),2*N5229*O5229,0)</f>
        <v/>
      </c>
      <c r="Z5229" s="12" t="inlineStr">
        <is>
          <t>VD 0.3 %</t>
        </is>
      </c>
      <c r="AA5229" s="12">
        <f>N5229*O5229</f>
        <v/>
      </c>
    </row>
    <row r="5230">
      <c r="A5230" s="12" t="inlineStr">
        <is>
          <t>I-P-0051</t>
        </is>
      </c>
      <c r="B5230" s="12" t="inlineStr">
        <is>
          <t>I</t>
        </is>
      </c>
      <c r="C5230" s="12" t="inlineStr">
        <is>
          <t>Modular / portable power</t>
        </is>
      </c>
      <c r="D5230" s="12" t="inlineStr">
        <is>
          <t>L1 GB-1.1 480 V generator leads to GBC-1</t>
        </is>
      </c>
      <c r="E5230" s="12" t="inlineStr">
        <is>
          <t>GB-1.1</t>
        </is>
      </c>
      <c r="F5230" s="12" t="inlineStr">
        <is>
          <t>GB-1.1: modular gas genset 500 kW, 480 V (block GB-1, unit 1 of 5)</t>
        </is>
      </c>
      <c r="G5230" s="12" t="inlineStr">
        <is>
          <t>GBC-1</t>
        </is>
      </c>
      <c r="H5230" s="12" t="inlineStr">
        <is>
          <t xml:space="preserve">GBC-1: block GB-1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I-P-0052</t>
        </is>
      </c>
      <c r="B5231" s="12" t="inlineStr">
        <is>
          <t>I</t>
        </is>
      </c>
      <c r="C5231" s="12" t="inlineStr">
        <is>
          <t>Modular / portable power</t>
        </is>
      </c>
      <c r="D5231" s="12" t="inlineStr">
        <is>
          <t>L1 GB-1.2 480 V generator leads to GBC-1</t>
        </is>
      </c>
      <c r="E5231" s="12" t="inlineStr">
        <is>
          <t>GB-1.2</t>
        </is>
      </c>
      <c r="F5231" s="12" t="inlineStr">
        <is>
          <t>GB-1.2: modular gas genset 500 kW, 480 V (block GB-1, unit 2 of 5)</t>
        </is>
      </c>
      <c r="G5231" s="12" t="inlineStr">
        <is>
          <t>GBC-1</t>
        </is>
      </c>
      <c r="H5231" s="12" t="inlineStr">
        <is>
          <t xml:space="preserve">GBC-1: block GB-1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I-P-0053</t>
        </is>
      </c>
      <c r="B5232" s="12" t="inlineStr">
        <is>
          <t>I</t>
        </is>
      </c>
      <c r="C5232" s="12" t="inlineStr">
        <is>
          <t>Modular / portable power</t>
        </is>
      </c>
      <c r="D5232" s="12" t="inlineStr">
        <is>
          <t>L1 GB-1.3 480 V generator leads to GBC-1</t>
        </is>
      </c>
      <c r="E5232" s="12" t="inlineStr">
        <is>
          <t>GB-1.3</t>
        </is>
      </c>
      <c r="F5232" s="12" t="inlineStr">
        <is>
          <t>GB-1.3: modular gas genset 500 kW, 480 V (block GB-1, unit 3 of 5)</t>
        </is>
      </c>
      <c r="G5232" s="12" t="inlineStr">
        <is>
          <t>GBC-1</t>
        </is>
      </c>
      <c r="H5232" s="12" t="inlineStr">
        <is>
          <t xml:space="preserve">GBC-1: block GB-1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I-P-0054</t>
        </is>
      </c>
      <c r="B5233" s="12" t="inlineStr">
        <is>
          <t>I</t>
        </is>
      </c>
      <c r="C5233" s="12" t="inlineStr">
        <is>
          <t>Modular / portable power</t>
        </is>
      </c>
      <c r="D5233" s="12" t="inlineStr">
        <is>
          <t>L1 GB-1.4 480 V generator leads to GBC-1</t>
        </is>
      </c>
      <c r="E5233" s="12" t="inlineStr">
        <is>
          <t>GB-1.4</t>
        </is>
      </c>
      <c r="F5233" s="12" t="inlineStr">
        <is>
          <t>GB-1.4: modular gas genset 500 kW, 480 V (block GB-1, unit 4 of 5)</t>
        </is>
      </c>
      <c r="G5233" s="12" t="inlineStr">
        <is>
          <t>GBC-1</t>
        </is>
      </c>
      <c r="H5233" s="12" t="inlineStr">
        <is>
          <t xml:space="preserve">GBC-1: block GB-1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I-P-0055</t>
        </is>
      </c>
      <c r="B5234" s="12" t="inlineStr">
        <is>
          <t>I</t>
        </is>
      </c>
      <c r="C5234" s="12" t="inlineStr">
        <is>
          <t>Modular / portable power</t>
        </is>
      </c>
      <c r="D5234" s="12" t="inlineStr">
        <is>
          <t>L1 GB-1.5 480 V generator leads to GBC-1</t>
        </is>
      </c>
      <c r="E5234" s="12" t="inlineStr">
        <is>
          <t>GB-1.5</t>
        </is>
      </c>
      <c r="F5234" s="12" t="inlineStr">
        <is>
          <t>GB-1.5: modular gas genset 500 kW, 480 V (block GB-1, unit 5 of 5)</t>
        </is>
      </c>
      <c r="G5234" s="12" t="inlineStr">
        <is>
          <t>GBC-1</t>
        </is>
      </c>
      <c r="H5234" s="12" t="inlineStr">
        <is>
          <t xml:space="preserve">GBC-1: block GB-1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I-P-0056</t>
        </is>
      </c>
      <c r="B5235" s="12" t="inlineStr">
        <is>
          <t>I</t>
        </is>
      </c>
      <c r="C5235" s="12" t="inlineStr">
        <is>
          <t>Modular / portable power</t>
        </is>
      </c>
      <c r="D5235" s="12" t="inlineStr">
        <is>
          <t>L1 GB-2.1 480 V generator leads to GBC-2</t>
        </is>
      </c>
      <c r="E5235" s="12" t="inlineStr">
        <is>
          <t>GB-2.1</t>
        </is>
      </c>
      <c r="F5235" s="12" t="inlineStr">
        <is>
          <t>GB-2.1: modular gas genset 500 kW, 480 V (block GB-2, unit 1 of 5)</t>
        </is>
      </c>
      <c r="G5235" s="12" t="inlineStr">
        <is>
          <t>GBC-2</t>
        </is>
      </c>
      <c r="H5235" s="12" t="inlineStr">
        <is>
          <t xml:space="preserve">GBC-2: block GB-2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44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I-P-0057</t>
        </is>
      </c>
      <c r="B5236" s="12" t="inlineStr">
        <is>
          <t>I</t>
        </is>
      </c>
      <c r="C5236" s="12" t="inlineStr">
        <is>
          <t>Modular / portable power</t>
        </is>
      </c>
      <c r="D5236" s="12" t="inlineStr">
        <is>
          <t>L1 GB-2.2 480 V generator leads to GBC-2</t>
        </is>
      </c>
      <c r="E5236" s="12" t="inlineStr">
        <is>
          <t>GB-2.2</t>
        </is>
      </c>
      <c r="F5236" s="12" t="inlineStr">
        <is>
          <t>GB-2.2: modular gas genset 500 kW, 480 V (block GB-2, unit 2 of 5)</t>
        </is>
      </c>
      <c r="G5236" s="12" t="inlineStr">
        <is>
          <t>GBC-2</t>
        </is>
      </c>
      <c r="H5236" s="12" t="inlineStr">
        <is>
          <t xml:space="preserve">GBC-2: block GB-2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34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I-P-0058</t>
        </is>
      </c>
      <c r="B5237" s="12" t="inlineStr">
        <is>
          <t>I</t>
        </is>
      </c>
      <c r="C5237" s="12" t="inlineStr">
        <is>
          <t>Modular / portable power</t>
        </is>
      </c>
      <c r="D5237" s="12" t="inlineStr">
        <is>
          <t>L1 GB-2.3 480 V generator leads to GBC-2</t>
        </is>
      </c>
      <c r="E5237" s="12" t="inlineStr">
        <is>
          <t>GB-2.3</t>
        </is>
      </c>
      <c r="F5237" s="12" t="inlineStr">
        <is>
          <t>GB-2.3: modular gas genset 500 kW, 480 V (block GB-2, unit 3 of 5)</t>
        </is>
      </c>
      <c r="G5237" s="12" t="inlineStr">
        <is>
          <t>GBC-2</t>
        </is>
      </c>
      <c r="H5237" s="12" t="inlineStr">
        <is>
          <t xml:space="preserve">GBC-2: block GB-2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24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I-P-0059</t>
        </is>
      </c>
      <c r="B5238" s="12" t="inlineStr">
        <is>
          <t>I</t>
        </is>
      </c>
      <c r="C5238" s="12" t="inlineStr">
        <is>
          <t>Modular / portable power</t>
        </is>
      </c>
      <c r="D5238" s="12" t="inlineStr">
        <is>
          <t>L1 GB-2.4 480 V generator leads to GBC-2</t>
        </is>
      </c>
      <c r="E5238" s="12" t="inlineStr">
        <is>
          <t>GB-2.4</t>
        </is>
      </c>
      <c r="F5238" s="12" t="inlineStr">
        <is>
          <t>GB-2.4: modular gas genset 500 kW, 480 V (block GB-2, unit 4 of 5)</t>
        </is>
      </c>
      <c r="G5238" s="12" t="inlineStr">
        <is>
          <t>GBC-2</t>
        </is>
      </c>
      <c r="H5238" s="12" t="inlineStr">
        <is>
          <t xml:space="preserve">GBC-2: block GB-2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Surface</t>
        </is>
      </c>
      <c r="T5238" s="15" t="n">
        <v>14</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I-P-0060</t>
        </is>
      </c>
      <c r="B5239" s="12" t="inlineStr">
        <is>
          <t>I</t>
        </is>
      </c>
      <c r="C5239" s="12" t="inlineStr">
        <is>
          <t>Modular / portable power</t>
        </is>
      </c>
      <c r="D5239" s="12" t="inlineStr">
        <is>
          <t>L1 GB-2.5 480 V generator leads to GBC-2</t>
        </is>
      </c>
      <c r="E5239" s="12" t="inlineStr">
        <is>
          <t>GB-2.5</t>
        </is>
      </c>
      <c r="F5239" s="12" t="inlineStr">
        <is>
          <t>GB-2.5: modular gas genset 500 kW, 480 V (block GB-2, unit 5 of 5)</t>
        </is>
      </c>
      <c r="G5239" s="12" t="inlineStr">
        <is>
          <t>GBC-2</t>
        </is>
      </c>
      <c r="H5239" s="12" t="inlineStr">
        <is>
          <t xml:space="preserve">GBC-2: block GB-2 generator collector box, 480 V outdoor switchboard, </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4</v>
      </c>
      <c r="P5239" s="12" t="n">
        <v>480</v>
      </c>
      <c r="Q5239" s="12" t="n">
        <v>500</v>
      </c>
      <c r="R5239" s="12" t="n">
        <v>601</v>
      </c>
      <c r="S5239" s="12" t="inlineStr">
        <is>
          <t>Riser</t>
        </is>
      </c>
      <c r="T5239" s="15" t="n">
        <v>2</v>
      </c>
      <c r="U5239" s="15" t="n">
        <v>28</v>
      </c>
      <c r="V5239" s="15">
        <f>ROUNDUP((T5239+U5239+2*'Read Me'!$B$13)*(1+'Read Me'!$B$12),-1)</f>
        <v/>
      </c>
      <c r="W5239" s="15">
        <f>V5239*N5239*O5239</f>
        <v/>
      </c>
      <c r="X5239" s="12">
        <f>IF(LEFT(I5239,2)="MV",2*N5239*IF(L5239="1/C",O5239,1),0)</f>
        <v/>
      </c>
      <c r="Y5239" s="12">
        <f>IF(OR(LEFT(K5239,4)="LVAX",LEFT(K5239,6)="MV15AX",LEFT(K5239,4)="CTAX",LEFT(K5239,2)="W|"),2*N5239*O5239,0)</f>
        <v/>
      </c>
      <c r="Z5239" s="12" t="inlineStr">
        <is>
          <t>2 sets of 3 x 500 kcmil + ground (count TO VERIFY)</t>
        </is>
      </c>
      <c r="AA5239" s="12">
        <f>N5239*O5239</f>
        <v/>
      </c>
    </row>
    <row r="5240">
      <c r="A5240" s="12" t="inlineStr">
        <is>
          <t>I-P-0061</t>
        </is>
      </c>
      <c r="B5240" s="12" t="inlineStr">
        <is>
          <t>I</t>
        </is>
      </c>
      <c r="C5240" s="12" t="inlineStr">
        <is>
          <t>Modular / portable power</t>
        </is>
      </c>
      <c r="D5240" s="12" t="inlineStr">
        <is>
          <t>L1 GB-3.1 480 V generator leads to GBC-3</t>
        </is>
      </c>
      <c r="E5240" s="12" t="inlineStr">
        <is>
          <t>GB-3.1</t>
        </is>
      </c>
      <c r="F5240" s="12" t="inlineStr">
        <is>
          <t>GB-3.1: modular gas genset 500 kW, 480 V (block GB-3, unit 1 of 5)</t>
        </is>
      </c>
      <c r="G5240" s="12" t="inlineStr">
        <is>
          <t>GBC-3</t>
        </is>
      </c>
      <c r="H5240" s="12" t="inlineStr">
        <is>
          <t xml:space="preserve">GBC-3: block GB-3 generator collector box, 480 V outdoor switchboard, </t>
        </is>
      </c>
      <c r="I5240" s="12" t="inlineStr">
        <is>
          <t>LV 600 V</t>
        </is>
      </c>
      <c r="J5240" s="12" t="inlineStr">
        <is>
          <t>XHHW-2 600 V 1/C Cu (feeder sets in tray / duct)</t>
        </is>
      </c>
      <c r="K5240" s="12" t="inlineStr">
        <is>
          <t>LV1C|1/C|500</t>
        </is>
      </c>
      <c r="L5240" s="12" t="inlineStr">
        <is>
          <t>1/C</t>
        </is>
      </c>
      <c r="M5240" s="12" t="inlineStr">
        <is>
          <t>500 kcmil</t>
        </is>
      </c>
      <c r="N5240" s="12" t="n">
        <v>2</v>
      </c>
      <c r="O5240" s="12" t="n">
        <v>4</v>
      </c>
      <c r="P5240" s="12" t="n">
        <v>480</v>
      </c>
      <c r="Q5240" s="12" t="n">
        <v>500</v>
      </c>
      <c r="R5240" s="12" t="n">
        <v>601</v>
      </c>
      <c r="S5240" s="12" t="inlineStr">
        <is>
          <t>Surface</t>
        </is>
      </c>
      <c r="T5240" s="15" t="n">
        <v>44</v>
      </c>
      <c r="U5240" s="15" t="n">
        <v>28</v>
      </c>
      <c r="V5240" s="15">
        <f>ROUNDUP((T5240+U5240+2*'Read Me'!$B$13)*(1+'Read Me'!$B$12),-1)</f>
        <v/>
      </c>
      <c r="W5240" s="15">
        <f>V5240*N5240*O5240</f>
        <v/>
      </c>
      <c r="X5240" s="12">
        <f>IF(LEFT(I5240,2)="MV",2*N5240*IF(L5240="1/C",O5240,1),0)</f>
        <v/>
      </c>
      <c r="Y5240" s="12">
        <f>IF(OR(LEFT(K5240,4)="LVAX",LEFT(K5240,6)="MV15AX",LEFT(K5240,4)="CTAX",LEFT(K5240,2)="W|"),2*N5240*O5240,0)</f>
        <v/>
      </c>
      <c r="Z5240" s="12" t="inlineStr">
        <is>
          <t>2 sets of 3 x 500 kcmil + ground (count TO VERIFY)</t>
        </is>
      </c>
      <c r="AA5240" s="12">
        <f>N5240*O5240</f>
        <v/>
      </c>
    </row>
    <row r="5241">
      <c r="A5241" s="12" t="inlineStr">
        <is>
          <t>I-P-0062</t>
        </is>
      </c>
      <c r="B5241" s="12" t="inlineStr">
        <is>
          <t>I</t>
        </is>
      </c>
      <c r="C5241" s="12" t="inlineStr">
        <is>
          <t>Modular / portable power</t>
        </is>
      </c>
      <c r="D5241" s="12" t="inlineStr">
        <is>
          <t>L1 GB-3.2 480 V generator leads to GBC-3</t>
        </is>
      </c>
      <c r="E5241" s="12" t="inlineStr">
        <is>
          <t>GB-3.2</t>
        </is>
      </c>
      <c r="F5241" s="12" t="inlineStr">
        <is>
          <t>GB-3.2: modular gas genset 500 kW, 480 V (block GB-3, unit 2 of 5)</t>
        </is>
      </c>
      <c r="G5241" s="12" t="inlineStr">
        <is>
          <t>GBC-3</t>
        </is>
      </c>
      <c r="H5241" s="12" t="inlineStr">
        <is>
          <t xml:space="preserve">GBC-3: block GB-3 generator collector box, 480 V outdoor switchboard, </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4</v>
      </c>
      <c r="P5241" s="12" t="n">
        <v>480</v>
      </c>
      <c r="Q5241" s="12" t="n">
        <v>500</v>
      </c>
      <c r="R5241" s="12" t="n">
        <v>601</v>
      </c>
      <c r="S5241" s="12" t="inlineStr">
        <is>
          <t>Surface</t>
        </is>
      </c>
      <c r="T5241" s="15" t="n">
        <v>34</v>
      </c>
      <c r="U5241" s="15" t="n">
        <v>28</v>
      </c>
      <c r="V5241" s="15">
        <f>ROUNDUP((T5241+U5241+2*'Read Me'!$B$13)*(1+'Read Me'!$B$12),-1)</f>
        <v/>
      </c>
      <c r="W5241" s="15">
        <f>V5241*N5241*O5241</f>
        <v/>
      </c>
      <c r="X5241" s="12">
        <f>IF(LEFT(I5241,2)="MV",2*N5241*IF(L5241="1/C",O5241,1),0)</f>
        <v/>
      </c>
      <c r="Y5241" s="12">
        <f>IF(OR(LEFT(K5241,4)="LVAX",LEFT(K5241,6)="MV15AX",LEFT(K5241,4)="CTAX",LEFT(K5241,2)="W|"),2*N5241*O5241,0)</f>
        <v/>
      </c>
      <c r="Z5241" s="12" t="inlineStr">
        <is>
          <t>2 sets of 3 x 500 kcmil + ground (count TO VERIFY)</t>
        </is>
      </c>
      <c r="AA5241" s="12">
        <f>N5241*O5241</f>
        <v/>
      </c>
    </row>
    <row r="5242">
      <c r="A5242" s="12" t="inlineStr">
        <is>
          <t>I-P-0063</t>
        </is>
      </c>
      <c r="B5242" s="12" t="inlineStr">
        <is>
          <t>I</t>
        </is>
      </c>
      <c r="C5242" s="12" t="inlineStr">
        <is>
          <t>Modular / portable power</t>
        </is>
      </c>
      <c r="D5242" s="12" t="inlineStr">
        <is>
          <t>L1 GB-3.3 480 V generator leads to GBC-3</t>
        </is>
      </c>
      <c r="E5242" s="12" t="inlineStr">
        <is>
          <t>GB-3.3</t>
        </is>
      </c>
      <c r="F5242" s="12" t="inlineStr">
        <is>
          <t>GB-3.3: modular gas genset 500 kW, 480 V (block GB-3, unit 3 of 5)</t>
        </is>
      </c>
      <c r="G5242" s="12" t="inlineStr">
        <is>
          <t>GBC-3</t>
        </is>
      </c>
      <c r="H5242" s="12" t="inlineStr">
        <is>
          <t xml:space="preserve">GBC-3: block GB-3 generator collector box, 480 V outdoor switchboard, </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4</v>
      </c>
      <c r="P5242" s="12" t="n">
        <v>480</v>
      </c>
      <c r="Q5242" s="12" t="n">
        <v>500</v>
      </c>
      <c r="R5242" s="12" t="n">
        <v>601</v>
      </c>
      <c r="S5242" s="12" t="inlineStr">
        <is>
          <t>Surface</t>
        </is>
      </c>
      <c r="T5242" s="15" t="n">
        <v>24</v>
      </c>
      <c r="U5242" s="15" t="n">
        <v>28</v>
      </c>
      <c r="V5242" s="15">
        <f>ROUNDUP((T5242+U5242+2*'Read Me'!$B$13)*(1+'Read Me'!$B$12),-1)</f>
        <v/>
      </c>
      <c r="W5242" s="15">
        <f>V5242*N5242*O5242</f>
        <v/>
      </c>
      <c r="X5242" s="12">
        <f>IF(LEFT(I5242,2)="MV",2*N5242*IF(L5242="1/C",O5242,1),0)</f>
        <v/>
      </c>
      <c r="Y5242" s="12">
        <f>IF(OR(LEFT(K5242,4)="LVAX",LEFT(K5242,6)="MV15AX",LEFT(K5242,4)="CTAX",LEFT(K5242,2)="W|"),2*N5242*O5242,0)</f>
        <v/>
      </c>
      <c r="Z5242" s="12" t="inlineStr">
        <is>
          <t>2 sets of 3 x 500 kcmil + ground (count TO VERIFY)</t>
        </is>
      </c>
      <c r="AA5242" s="12">
        <f>N5242*O5242</f>
        <v/>
      </c>
    </row>
    <row r="5243">
      <c r="A5243" s="12" t="inlineStr">
        <is>
          <t>I-P-0064</t>
        </is>
      </c>
      <c r="B5243" s="12" t="inlineStr">
        <is>
          <t>I</t>
        </is>
      </c>
      <c r="C5243" s="12" t="inlineStr">
        <is>
          <t>Modular / portable power</t>
        </is>
      </c>
      <c r="D5243" s="12" t="inlineStr">
        <is>
          <t>L1 GB-3.4 480 V generator leads to GBC-3</t>
        </is>
      </c>
      <c r="E5243" s="12" t="inlineStr">
        <is>
          <t>GB-3.4</t>
        </is>
      </c>
      <c r="F5243" s="12" t="inlineStr">
        <is>
          <t>GB-3.4: modular gas genset 500 kW, 480 V (block GB-3, unit 4 of 5)</t>
        </is>
      </c>
      <c r="G5243" s="12" t="inlineStr">
        <is>
          <t>GBC-3</t>
        </is>
      </c>
      <c r="H5243" s="12" t="inlineStr">
        <is>
          <t xml:space="preserve">GBC-3: block GB-3 generator collector box, 480 V outdoor switchboard, </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4</v>
      </c>
      <c r="P5243" s="12" t="n">
        <v>480</v>
      </c>
      <c r="Q5243" s="12" t="n">
        <v>500</v>
      </c>
      <c r="R5243" s="12" t="n">
        <v>601</v>
      </c>
      <c r="S5243" s="12" t="inlineStr">
        <is>
          <t>Surface</t>
        </is>
      </c>
      <c r="T5243" s="15" t="n">
        <v>14</v>
      </c>
      <c r="U5243" s="15" t="n">
        <v>28</v>
      </c>
      <c r="V5243" s="15">
        <f>ROUNDUP((T5243+U5243+2*'Read Me'!$B$13)*(1+'Read Me'!$B$12),-1)</f>
        <v/>
      </c>
      <c r="W5243" s="15">
        <f>V5243*N5243*O5243</f>
        <v/>
      </c>
      <c r="X5243" s="12">
        <f>IF(LEFT(I5243,2)="MV",2*N5243*IF(L5243="1/C",O5243,1),0)</f>
        <v/>
      </c>
      <c r="Y5243" s="12">
        <f>IF(OR(LEFT(K5243,4)="LVAX",LEFT(K5243,6)="MV15AX",LEFT(K5243,4)="CTAX",LEFT(K5243,2)="W|"),2*N5243*O5243,0)</f>
        <v/>
      </c>
      <c r="Z5243" s="12" t="inlineStr">
        <is>
          <t>2 sets of 3 x 500 kcmil + ground (count TO VERIFY)</t>
        </is>
      </c>
      <c r="AA5243" s="12">
        <f>N5243*O5243</f>
        <v/>
      </c>
    </row>
    <row r="5244">
      <c r="A5244" s="12" t="inlineStr">
        <is>
          <t>I-P-0065</t>
        </is>
      </c>
      <c r="B5244" s="12" t="inlineStr">
        <is>
          <t>I</t>
        </is>
      </c>
      <c r="C5244" s="12" t="inlineStr">
        <is>
          <t>Modular / portable power</t>
        </is>
      </c>
      <c r="D5244" s="12" t="inlineStr">
        <is>
          <t>L1 GB-3.5 480 V generator leads to GBC-3</t>
        </is>
      </c>
      <c r="E5244" s="12" t="inlineStr">
        <is>
          <t>GB-3.5</t>
        </is>
      </c>
      <c r="F5244" s="12" t="inlineStr">
        <is>
          <t>GB-3.5: modular gas genset 500 kW, 480 V (block GB-3, unit 5 of 5)</t>
        </is>
      </c>
      <c r="G5244" s="12" t="inlineStr">
        <is>
          <t>GBC-3</t>
        </is>
      </c>
      <c r="H5244" s="12" t="inlineStr">
        <is>
          <t xml:space="preserve">GBC-3: block GB-3 generator collector box, 480 V outdoor switchboard, </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4</v>
      </c>
      <c r="P5244" s="12" t="n">
        <v>480</v>
      </c>
      <c r="Q5244" s="12" t="n">
        <v>500</v>
      </c>
      <c r="R5244" s="12" t="n">
        <v>601</v>
      </c>
      <c r="S5244" s="12" t="inlineStr">
        <is>
          <t>Riser</t>
        </is>
      </c>
      <c r="T5244" s="15" t="n">
        <v>2</v>
      </c>
      <c r="U5244" s="15" t="n">
        <v>28</v>
      </c>
      <c r="V5244" s="15">
        <f>ROUNDUP((T5244+U5244+2*'Read Me'!$B$13)*(1+'Read Me'!$B$12),-1)</f>
        <v/>
      </c>
      <c r="W5244" s="15">
        <f>V5244*N5244*O5244</f>
        <v/>
      </c>
      <c r="X5244" s="12">
        <f>IF(LEFT(I5244,2)="MV",2*N5244*IF(L5244="1/C",O5244,1),0)</f>
        <v/>
      </c>
      <c r="Y5244" s="12">
        <f>IF(OR(LEFT(K5244,4)="LVAX",LEFT(K5244,6)="MV15AX",LEFT(K5244,4)="CTAX",LEFT(K5244,2)="W|"),2*N5244*O5244,0)</f>
        <v/>
      </c>
      <c r="Z5244" s="12" t="inlineStr">
        <is>
          <t>2 sets of 3 x 500 kcmil + ground (count TO VERIFY)</t>
        </is>
      </c>
      <c r="AA5244" s="12">
        <f>N5244*O5244</f>
        <v/>
      </c>
    </row>
    <row r="5245">
      <c r="A5245" s="12" t="inlineStr">
        <is>
          <t>I-P-0066</t>
        </is>
      </c>
      <c r="B5245" s="12" t="inlineStr">
        <is>
          <t>I</t>
        </is>
      </c>
      <c r="C5245" s="12" t="inlineStr">
        <is>
          <t>Modular / portable power</t>
        </is>
      </c>
      <c r="D5245" s="12" t="inlineStr">
        <is>
          <t>L1 GB-4.1 480 V generator leads to GBC-4</t>
        </is>
      </c>
      <c r="E5245" s="12" t="inlineStr">
        <is>
          <t>GB-4.1</t>
        </is>
      </c>
      <c r="F5245" s="12" t="inlineStr">
        <is>
          <t>GB-4.1: modular gas genset 500 kW, 480 V (block GB-4, unit 1 of 5)</t>
        </is>
      </c>
      <c r="G5245" s="12" t="inlineStr">
        <is>
          <t>GBC-4</t>
        </is>
      </c>
      <c r="H5245" s="12" t="inlineStr">
        <is>
          <t xml:space="preserve">GBC-4: block GB-4 generator collector box, 480 V outdoor switchboard, </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4</v>
      </c>
      <c r="P5245" s="12" t="n">
        <v>480</v>
      </c>
      <c r="Q5245" s="12" t="n">
        <v>500</v>
      </c>
      <c r="R5245" s="12" t="n">
        <v>601</v>
      </c>
      <c r="S5245" s="12" t="inlineStr">
        <is>
          <t>Surface</t>
        </is>
      </c>
      <c r="T5245" s="15" t="n">
        <v>42</v>
      </c>
      <c r="U5245" s="15" t="n">
        <v>28</v>
      </c>
      <c r="V5245" s="15">
        <f>ROUNDUP((T5245+U5245+2*'Read Me'!$B$13)*(1+'Read Me'!$B$12),-1)</f>
        <v/>
      </c>
      <c r="W5245" s="15">
        <f>V5245*N5245*O5245</f>
        <v/>
      </c>
      <c r="X5245" s="12">
        <f>IF(LEFT(I5245,2)="MV",2*N5245*IF(L5245="1/C",O5245,1),0)</f>
        <v/>
      </c>
      <c r="Y5245" s="12">
        <f>IF(OR(LEFT(K5245,4)="LVAX",LEFT(K5245,6)="MV15AX",LEFT(K5245,4)="CTAX",LEFT(K5245,2)="W|"),2*N5245*O5245,0)</f>
        <v/>
      </c>
      <c r="Z5245" s="12" t="inlineStr">
        <is>
          <t>2 sets of 3 x 500 kcmil + ground (count TO VERIFY)</t>
        </is>
      </c>
      <c r="AA5245" s="12">
        <f>N5245*O5245</f>
        <v/>
      </c>
    </row>
    <row r="5246">
      <c r="A5246" s="12" t="inlineStr">
        <is>
          <t>I-P-0067</t>
        </is>
      </c>
      <c r="B5246" s="12" t="inlineStr">
        <is>
          <t>I</t>
        </is>
      </c>
      <c r="C5246" s="12" t="inlineStr">
        <is>
          <t>Modular / portable power</t>
        </is>
      </c>
      <c r="D5246" s="12" t="inlineStr">
        <is>
          <t>L1 GB-4.2 480 V generator leads to GBC-4</t>
        </is>
      </c>
      <c r="E5246" s="12" t="inlineStr">
        <is>
          <t>GB-4.2</t>
        </is>
      </c>
      <c r="F5246" s="12" t="inlineStr">
        <is>
          <t>GB-4.2: modular gas genset 500 kW, 480 V (block GB-4, unit 2 of 5)</t>
        </is>
      </c>
      <c r="G5246" s="12" t="inlineStr">
        <is>
          <t>GBC-4</t>
        </is>
      </c>
      <c r="H5246" s="12" t="inlineStr">
        <is>
          <t xml:space="preserve">GBC-4: block GB-4 generator collector box, 480 V outdoor switchboard, </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4</v>
      </c>
      <c r="P5246" s="12" t="n">
        <v>480</v>
      </c>
      <c r="Q5246" s="12" t="n">
        <v>500</v>
      </c>
      <c r="R5246" s="12" t="n">
        <v>601</v>
      </c>
      <c r="S5246" s="12" t="inlineStr">
        <is>
          <t>Surface</t>
        </is>
      </c>
      <c r="T5246" s="15" t="n">
        <v>34</v>
      </c>
      <c r="U5246" s="15" t="n">
        <v>28</v>
      </c>
      <c r="V5246" s="15">
        <f>ROUNDUP((T5246+U5246+2*'Read Me'!$B$13)*(1+'Read Me'!$B$12),-1)</f>
        <v/>
      </c>
      <c r="W5246" s="15">
        <f>V5246*N5246*O5246</f>
        <v/>
      </c>
      <c r="X5246" s="12">
        <f>IF(LEFT(I5246,2)="MV",2*N5246*IF(L5246="1/C",O5246,1),0)</f>
        <v/>
      </c>
      <c r="Y5246" s="12">
        <f>IF(OR(LEFT(K5246,4)="LVAX",LEFT(K5246,6)="MV15AX",LEFT(K5246,4)="CTAX",LEFT(K5246,2)="W|"),2*N5246*O5246,0)</f>
        <v/>
      </c>
      <c r="Z5246" s="12" t="inlineStr">
        <is>
          <t>2 sets of 3 x 500 kcmil + ground (count TO VERIFY)</t>
        </is>
      </c>
      <c r="AA5246" s="12">
        <f>N5246*O5246</f>
        <v/>
      </c>
    </row>
    <row r="5247">
      <c r="A5247" s="12" t="inlineStr">
        <is>
          <t>I-P-0068</t>
        </is>
      </c>
      <c r="B5247" s="12" t="inlineStr">
        <is>
          <t>I</t>
        </is>
      </c>
      <c r="C5247" s="12" t="inlineStr">
        <is>
          <t>Modular / portable power</t>
        </is>
      </c>
      <c r="D5247" s="12" t="inlineStr">
        <is>
          <t>L1 GB-4.3 480 V generator leads to GBC-4</t>
        </is>
      </c>
      <c r="E5247" s="12" t="inlineStr">
        <is>
          <t>GB-4.3</t>
        </is>
      </c>
      <c r="F5247" s="12" t="inlineStr">
        <is>
          <t>GB-4.3: modular gas genset 500 kW, 480 V (block GB-4, unit 3 of 5)</t>
        </is>
      </c>
      <c r="G5247" s="12" t="inlineStr">
        <is>
          <t>GBC-4</t>
        </is>
      </c>
      <c r="H5247" s="12" t="inlineStr">
        <is>
          <t xml:space="preserve">GBC-4: block GB-4 generator collector box, 480 V outdoor switchboard, </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4</v>
      </c>
      <c r="P5247" s="12" t="n">
        <v>480</v>
      </c>
      <c r="Q5247" s="12" t="n">
        <v>500</v>
      </c>
      <c r="R5247" s="12" t="n">
        <v>601</v>
      </c>
      <c r="S5247" s="12" t="inlineStr">
        <is>
          <t>Surface</t>
        </is>
      </c>
      <c r="T5247" s="15" t="n">
        <v>24</v>
      </c>
      <c r="U5247" s="15" t="n">
        <v>28</v>
      </c>
      <c r="V5247" s="15">
        <f>ROUNDUP((T5247+U5247+2*'Read Me'!$B$13)*(1+'Read Me'!$B$12),-1)</f>
        <v/>
      </c>
      <c r="W5247" s="15">
        <f>V5247*N5247*O5247</f>
        <v/>
      </c>
      <c r="X5247" s="12">
        <f>IF(LEFT(I5247,2)="MV",2*N5247*IF(L5247="1/C",O5247,1),0)</f>
        <v/>
      </c>
      <c r="Y5247" s="12">
        <f>IF(OR(LEFT(K5247,4)="LVAX",LEFT(K5247,6)="MV15AX",LEFT(K5247,4)="CTAX",LEFT(K5247,2)="W|"),2*N5247*O5247,0)</f>
        <v/>
      </c>
      <c r="Z5247" s="12" t="inlineStr">
        <is>
          <t>2 sets of 3 x 500 kcmil + ground (count TO VERIFY)</t>
        </is>
      </c>
      <c r="AA5247" s="12">
        <f>N5247*O5247</f>
        <v/>
      </c>
    </row>
    <row r="5248">
      <c r="A5248" s="12" t="inlineStr">
        <is>
          <t>I-P-0069</t>
        </is>
      </c>
      <c r="B5248" s="12" t="inlineStr">
        <is>
          <t>I</t>
        </is>
      </c>
      <c r="C5248" s="12" t="inlineStr">
        <is>
          <t>Modular / portable power</t>
        </is>
      </c>
      <c r="D5248" s="12" t="inlineStr">
        <is>
          <t>L1 GB-4.4 480 V generator leads to GBC-4</t>
        </is>
      </c>
      <c r="E5248" s="12" t="inlineStr">
        <is>
          <t>GB-4.4</t>
        </is>
      </c>
      <c r="F5248" s="12" t="inlineStr">
        <is>
          <t>GB-4.4: modular gas genset 500 kW, 480 V (block GB-4, unit 4 of 5)</t>
        </is>
      </c>
      <c r="G5248" s="12" t="inlineStr">
        <is>
          <t>GBC-4</t>
        </is>
      </c>
      <c r="H5248" s="12" t="inlineStr">
        <is>
          <t xml:space="preserve">GBC-4: block GB-4 generator collector box, 480 V outdoor switchboard, </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4</v>
      </c>
      <c r="P5248" s="12" t="n">
        <v>480</v>
      </c>
      <c r="Q5248" s="12" t="n">
        <v>500</v>
      </c>
      <c r="R5248" s="12" t="n">
        <v>601</v>
      </c>
      <c r="S5248" s="12" t="inlineStr">
        <is>
          <t>Surface</t>
        </is>
      </c>
      <c r="T5248" s="15" t="n">
        <v>14</v>
      </c>
      <c r="U5248" s="15" t="n">
        <v>28</v>
      </c>
      <c r="V5248" s="15">
        <f>ROUNDUP((T5248+U5248+2*'Read Me'!$B$13)*(1+'Read Me'!$B$12),-1)</f>
        <v/>
      </c>
      <c r="W5248" s="15">
        <f>V5248*N5248*O5248</f>
        <v/>
      </c>
      <c r="X5248" s="12">
        <f>IF(LEFT(I5248,2)="MV",2*N5248*IF(L5248="1/C",O5248,1),0)</f>
        <v/>
      </c>
      <c r="Y5248" s="12">
        <f>IF(OR(LEFT(K5248,4)="LVAX",LEFT(K5248,6)="MV15AX",LEFT(K5248,4)="CTAX",LEFT(K5248,2)="W|"),2*N5248*O5248,0)</f>
        <v/>
      </c>
      <c r="Z5248" s="12" t="inlineStr">
        <is>
          <t>2 sets of 3 x 500 kcmil + ground (count TO VERIFY)</t>
        </is>
      </c>
      <c r="AA5248" s="12">
        <f>N5248*O5248</f>
        <v/>
      </c>
    </row>
    <row r="5249">
      <c r="A5249" s="12" t="inlineStr">
        <is>
          <t>I-P-0070</t>
        </is>
      </c>
      <c r="B5249" s="12" t="inlineStr">
        <is>
          <t>I</t>
        </is>
      </c>
      <c r="C5249" s="12" t="inlineStr">
        <is>
          <t>Modular / portable power</t>
        </is>
      </c>
      <c r="D5249" s="12" t="inlineStr">
        <is>
          <t>L1 GB-4.5 480 V generator leads to GBC-4</t>
        </is>
      </c>
      <c r="E5249" s="12" t="inlineStr">
        <is>
          <t>GB-4.5</t>
        </is>
      </c>
      <c r="F5249" s="12" t="inlineStr">
        <is>
          <t>GB-4.5: modular gas genset 500 kW, 480 V (block GB-4, unit 5 of 5)</t>
        </is>
      </c>
      <c r="G5249" s="12" t="inlineStr">
        <is>
          <t>GBC-4</t>
        </is>
      </c>
      <c r="H5249" s="12" t="inlineStr">
        <is>
          <t xml:space="preserve">GBC-4: block GB-4 generator collector box, 480 V outdoor switchboard, </t>
        </is>
      </c>
      <c r="I5249" s="12" t="inlineStr">
        <is>
          <t>LV 600 V</t>
        </is>
      </c>
      <c r="J5249" s="12" t="inlineStr">
        <is>
          <t>XHHW-2 600 V 1/C Cu (feeder sets in tray / duct)</t>
        </is>
      </c>
      <c r="K5249" s="12" t="inlineStr">
        <is>
          <t>LV1C|1/C|500</t>
        </is>
      </c>
      <c r="L5249" s="12" t="inlineStr">
        <is>
          <t>1/C</t>
        </is>
      </c>
      <c r="M5249" s="12" t="inlineStr">
        <is>
          <t>500 kcmil</t>
        </is>
      </c>
      <c r="N5249" s="12" t="n">
        <v>2</v>
      </c>
      <c r="O5249" s="12" t="n">
        <v>4</v>
      </c>
      <c r="P5249" s="12" t="n">
        <v>480</v>
      </c>
      <c r="Q5249" s="12" t="n">
        <v>500</v>
      </c>
      <c r="R5249" s="12" t="n">
        <v>601</v>
      </c>
      <c r="S5249" s="12" t="inlineStr">
        <is>
          <t>Riser</t>
        </is>
      </c>
      <c r="T5249" s="15" t="n">
        <v>2</v>
      </c>
      <c r="U5249" s="15" t="n">
        <v>28</v>
      </c>
      <c r="V5249" s="15">
        <f>ROUNDUP((T5249+U5249+2*'Read Me'!$B$13)*(1+'Read Me'!$B$12),-1)</f>
        <v/>
      </c>
      <c r="W5249" s="15">
        <f>V5249*N5249*O5249</f>
        <v/>
      </c>
      <c r="X5249" s="12">
        <f>IF(LEFT(I5249,2)="MV",2*N5249*IF(L5249="1/C",O5249,1),0)</f>
        <v/>
      </c>
      <c r="Y5249" s="12">
        <f>IF(OR(LEFT(K5249,4)="LVAX",LEFT(K5249,6)="MV15AX",LEFT(K5249,4)="CTAX",LEFT(K5249,2)="W|"),2*N5249*O5249,0)</f>
        <v/>
      </c>
      <c r="Z5249" s="12" t="inlineStr">
        <is>
          <t>2 sets of 3 x 500 kcmil + ground (count TO VERIFY)</t>
        </is>
      </c>
      <c r="AA5249" s="12">
        <f>N5249*O5249</f>
        <v/>
      </c>
    </row>
    <row r="5250">
      <c r="A5250" s="12" t="inlineStr">
        <is>
          <t>I-P-0071</t>
        </is>
      </c>
      <c r="B5250" s="12" t="inlineStr">
        <is>
          <t>I</t>
        </is>
      </c>
      <c r="C5250" s="12" t="inlineStr">
        <is>
          <t>Modular / portable power</t>
        </is>
      </c>
      <c r="D5250" s="12" t="inlineStr">
        <is>
          <t>L2 GBC-1 to GBT-1 480 V block feed</t>
        </is>
      </c>
      <c r="E5250" s="12" t="inlineStr">
        <is>
          <t>GBC-1</t>
        </is>
      </c>
      <c r="F5250" s="12" t="inlineStr">
        <is>
          <t xml:space="preserve">GBC-1: block GB-1 generator collector box, 480 V outdoor switchboard, </t>
        </is>
      </c>
      <c r="G5250" s="12" t="inlineStr">
        <is>
          <t>GBT-1</t>
        </is>
      </c>
      <c r="H5250" s="12" t="inlineStr">
        <is>
          <t>GBT-1: block GB-1 step-up 480 V : 34.5 kV, ~3 MVA pad-mount (on the 35</t>
        </is>
      </c>
      <c r="I5250" s="12" t="inlineStr">
        <is>
          <t>LV 600 V</t>
        </is>
      </c>
      <c r="J5250" s="12" t="inlineStr">
        <is>
          <t>XHHW-2 600 V 1/C Cu (feeder sets in tray / duct)</t>
        </is>
      </c>
      <c r="K5250" s="12" t="inlineStr">
        <is>
          <t>LV1C|1/C|600</t>
        </is>
      </c>
      <c r="L5250" s="12" t="inlineStr">
        <is>
          <t>1/C</t>
        </is>
      </c>
      <c r="M5250" s="12" t="inlineStr">
        <is>
          <t>600 kcmil</t>
        </is>
      </c>
      <c r="N5250" s="12" t="n">
        <v>8</v>
      </c>
      <c r="O5250" s="12" t="n">
        <v>4</v>
      </c>
      <c r="P5250" s="12" t="n">
        <v>480</v>
      </c>
      <c r="Q5250" s="12" t="n">
        <v>2500</v>
      </c>
      <c r="R5250" s="12" t="n">
        <v>3007</v>
      </c>
      <c r="S5250" s="12" t="inlineStr">
        <is>
          <t>Riser</t>
        </is>
      </c>
      <c r="T5250" s="15" t="n">
        <v>2</v>
      </c>
      <c r="U5250" s="15" t="n">
        <v>27</v>
      </c>
      <c r="V5250" s="15">
        <f>ROUNDUP((T5250+U5250+2*'Read Me'!$B$13)*(1+'Read Me'!$B$12),-1)</f>
        <v/>
      </c>
      <c r="W5250" s="15">
        <f>V5250*N5250*O5250</f>
        <v/>
      </c>
      <c r="X5250" s="12">
        <f>IF(LEFT(I5250,2)="MV",2*N5250*IF(L5250="1/C",O5250,1),0)</f>
        <v/>
      </c>
      <c r="Y5250" s="12">
        <f>IF(OR(LEFT(K5250,4)="LVAX",LEFT(K5250,6)="MV15AX",LEFT(K5250,4)="CTAX",LEFT(K5250,2)="W|"),2*N5250*O5250,0)</f>
        <v/>
      </c>
      <c r="Z5250" s="12" t="inlineStr">
        <is>
          <t>8 sets of 4 x 1/C (or bus duct, TO VERIFY)</t>
        </is>
      </c>
      <c r="AA5250" s="12">
        <f>N5250*O5250</f>
        <v/>
      </c>
    </row>
    <row r="5251">
      <c r="A5251" s="12" t="inlineStr">
        <is>
          <t>I-P-0072</t>
        </is>
      </c>
      <c r="B5251" s="12" t="inlineStr">
        <is>
          <t>I</t>
        </is>
      </c>
      <c r="C5251" s="12" t="inlineStr">
        <is>
          <t>Modular / portable power</t>
        </is>
      </c>
      <c r="D5251" s="12" t="inlineStr">
        <is>
          <t>L2 GBC-2 to GBT-2 480 V block feed</t>
        </is>
      </c>
      <c r="E5251" s="12" t="inlineStr">
        <is>
          <t>GBC-2</t>
        </is>
      </c>
      <c r="F5251" s="12" t="inlineStr">
        <is>
          <t xml:space="preserve">GBC-2: block GB-2 generator collector box, 480 V outdoor switchboard, </t>
        </is>
      </c>
      <c r="G5251" s="12" t="inlineStr">
        <is>
          <t>GBT-2</t>
        </is>
      </c>
      <c r="H5251" s="12" t="inlineStr">
        <is>
          <t>GBT-2: block GB-2 step-up 480 V : 34.5 kV, ~3 MVA pad-mount (on the 35</t>
        </is>
      </c>
      <c r="I5251" s="12" t="inlineStr">
        <is>
          <t>LV 600 V</t>
        </is>
      </c>
      <c r="J5251" s="12" t="inlineStr">
        <is>
          <t>XHHW-2 600 V 1/C Cu (feeder sets in tray / duct)</t>
        </is>
      </c>
      <c r="K5251" s="12" t="inlineStr">
        <is>
          <t>LV1C|1/C|600</t>
        </is>
      </c>
      <c r="L5251" s="12" t="inlineStr">
        <is>
          <t>1/C</t>
        </is>
      </c>
      <c r="M5251" s="12" t="inlineStr">
        <is>
          <t>600 kcmil</t>
        </is>
      </c>
      <c r="N5251" s="12" t="n">
        <v>8</v>
      </c>
      <c r="O5251" s="12" t="n">
        <v>4</v>
      </c>
      <c r="P5251" s="12" t="n">
        <v>480</v>
      </c>
      <c r="Q5251" s="12" t="n">
        <v>2500</v>
      </c>
      <c r="R5251" s="12" t="n">
        <v>3007</v>
      </c>
      <c r="S5251" s="12" t="inlineStr">
        <is>
          <t>Riser</t>
        </is>
      </c>
      <c r="T5251" s="15" t="n">
        <v>2</v>
      </c>
      <c r="U5251" s="15" t="n">
        <v>27</v>
      </c>
      <c r="V5251" s="15">
        <f>ROUNDUP((T5251+U5251+2*'Read Me'!$B$13)*(1+'Read Me'!$B$12),-1)</f>
        <v/>
      </c>
      <c r="W5251" s="15">
        <f>V5251*N5251*O5251</f>
        <v/>
      </c>
      <c r="X5251" s="12">
        <f>IF(LEFT(I5251,2)="MV",2*N5251*IF(L5251="1/C",O5251,1),0)</f>
        <v/>
      </c>
      <c r="Y5251" s="12">
        <f>IF(OR(LEFT(K5251,4)="LVAX",LEFT(K5251,6)="MV15AX",LEFT(K5251,4)="CTAX",LEFT(K5251,2)="W|"),2*N5251*O5251,0)</f>
        <v/>
      </c>
      <c r="Z5251" s="12" t="inlineStr">
        <is>
          <t>8 sets of 4 x 1/C (or bus duct, TO VERIFY)</t>
        </is>
      </c>
      <c r="AA5251" s="12">
        <f>N5251*O5251</f>
        <v/>
      </c>
    </row>
    <row r="5252">
      <c r="A5252" s="12" t="inlineStr">
        <is>
          <t>I-P-0073</t>
        </is>
      </c>
      <c r="B5252" s="12" t="inlineStr">
        <is>
          <t>I</t>
        </is>
      </c>
      <c r="C5252" s="12" t="inlineStr">
        <is>
          <t>Modular / portable power</t>
        </is>
      </c>
      <c r="D5252" s="12" t="inlineStr">
        <is>
          <t>L2 GBC-3 to GBT-3 480 V block feed</t>
        </is>
      </c>
      <c r="E5252" s="12" t="inlineStr">
        <is>
          <t>GBC-3</t>
        </is>
      </c>
      <c r="F5252" s="12" t="inlineStr">
        <is>
          <t xml:space="preserve">GBC-3: block GB-3 generator collector box, 480 V outdoor switchboard, </t>
        </is>
      </c>
      <c r="G5252" s="12" t="inlineStr">
        <is>
          <t>GBT-3</t>
        </is>
      </c>
      <c r="H5252" s="12" t="inlineStr">
        <is>
          <t>GBT-3: block GB-3 step-up 480 V : 34.5 kV, ~3 MVA pad-mount (on the 35</t>
        </is>
      </c>
      <c r="I5252" s="12" t="inlineStr">
        <is>
          <t>LV 600 V</t>
        </is>
      </c>
      <c r="J5252" s="12" t="inlineStr">
        <is>
          <t>XHHW-2 600 V 1/C Cu (feeder sets in tray / duct)</t>
        </is>
      </c>
      <c r="K5252" s="12" t="inlineStr">
        <is>
          <t>LV1C|1/C|600</t>
        </is>
      </c>
      <c r="L5252" s="12" t="inlineStr">
        <is>
          <t>1/C</t>
        </is>
      </c>
      <c r="M5252" s="12" t="inlineStr">
        <is>
          <t>600 kcmil</t>
        </is>
      </c>
      <c r="N5252" s="12" t="n">
        <v>8</v>
      </c>
      <c r="O5252" s="12" t="n">
        <v>4</v>
      </c>
      <c r="P5252" s="12" t="n">
        <v>480</v>
      </c>
      <c r="Q5252" s="12" t="n">
        <v>2500</v>
      </c>
      <c r="R5252" s="12" t="n">
        <v>3007</v>
      </c>
      <c r="S5252" s="12" t="inlineStr">
        <is>
          <t>Riser</t>
        </is>
      </c>
      <c r="T5252" s="15" t="n">
        <v>2</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8 sets of 4 x 1/C (or bus duct, TO VERIFY)</t>
        </is>
      </c>
      <c r="AA5252" s="12">
        <f>N5252*O5252</f>
        <v/>
      </c>
    </row>
    <row r="5253">
      <c r="A5253" s="12" t="inlineStr">
        <is>
          <t>I-P-0074</t>
        </is>
      </c>
      <c r="B5253" s="12" t="inlineStr">
        <is>
          <t>I</t>
        </is>
      </c>
      <c r="C5253" s="12" t="inlineStr">
        <is>
          <t>Modular / portable power</t>
        </is>
      </c>
      <c r="D5253" s="12" t="inlineStr">
        <is>
          <t>L2 GBC-4 to GBT-4 480 V block feed</t>
        </is>
      </c>
      <c r="E5253" s="12" t="inlineStr">
        <is>
          <t>GBC-4</t>
        </is>
      </c>
      <c r="F5253" s="12" t="inlineStr">
        <is>
          <t xml:space="preserve">GBC-4: block GB-4 generator collector box, 480 V outdoor switchboard, </t>
        </is>
      </c>
      <c r="G5253" s="12" t="inlineStr">
        <is>
          <t>GBT-4</t>
        </is>
      </c>
      <c r="H5253" s="12" t="inlineStr">
        <is>
          <t>GBT-4: block GB-4 step-up 480 V : 34.5 kV, ~3 MVA pad-mount (on the 35</t>
        </is>
      </c>
      <c r="I5253" s="12" t="inlineStr">
        <is>
          <t>LV 600 V</t>
        </is>
      </c>
      <c r="J5253" s="12" t="inlineStr">
        <is>
          <t>XHHW-2 600 V 1/C Cu (feeder sets in tray / duct)</t>
        </is>
      </c>
      <c r="K5253" s="12" t="inlineStr">
        <is>
          <t>LV1C|1/C|600</t>
        </is>
      </c>
      <c r="L5253" s="12" t="inlineStr">
        <is>
          <t>1/C</t>
        </is>
      </c>
      <c r="M5253" s="12" t="inlineStr">
        <is>
          <t>600 kcmil</t>
        </is>
      </c>
      <c r="N5253" s="12" t="n">
        <v>8</v>
      </c>
      <c r="O5253" s="12" t="n">
        <v>4</v>
      </c>
      <c r="P5253" s="12" t="n">
        <v>480</v>
      </c>
      <c r="Q5253" s="12" t="n">
        <v>2500</v>
      </c>
      <c r="R5253" s="12" t="n">
        <v>3007</v>
      </c>
      <c r="S5253" s="12" t="inlineStr">
        <is>
          <t>Riser</t>
        </is>
      </c>
      <c r="T5253" s="15" t="n">
        <v>2</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8 sets of 4 x 1/C (or bus duct, TO VERIFY)</t>
        </is>
      </c>
      <c r="AA5253" s="12">
        <f>N5253*O5253</f>
        <v/>
      </c>
    </row>
    <row r="5254">
      <c r="A5254" s="12" t="inlineStr">
        <is>
          <t>I-P-0075</t>
        </is>
      </c>
      <c r="B5254" s="12" t="inlineStr">
        <is>
          <t>I</t>
        </is>
      </c>
      <c r="C5254" s="12" t="inlineStr">
        <is>
          <t>Modular / portable power</t>
        </is>
      </c>
      <c r="D5254" s="12" t="inlineStr">
        <is>
          <t>LV power feeder</t>
        </is>
      </c>
      <c r="E5254" s="12" t="inlineStr"/>
      <c r="F5254" s="12" t="inlineStr">
        <is>
          <t>PCM: power control module</t>
        </is>
      </c>
      <c r="G5254" s="12" t="inlineStr"/>
      <c r="H5254" s="12" t="inlineStr">
        <is>
          <t>Gas conditioning skid</t>
        </is>
      </c>
      <c r="I5254" s="12" t="inlineStr">
        <is>
          <t>LV 600 V</t>
        </is>
      </c>
      <c r="J5254" s="12" t="inlineStr">
        <is>
          <t>ARMOR-X MC-HL 600 V 3/C Cu XHHW-2 + ground, CWA, black PVC (Class I Div 2)</t>
        </is>
      </c>
      <c r="K5254" s="12" t="inlineStr">
        <is>
          <t>LVAX|3/C+G|4</t>
        </is>
      </c>
      <c r="L5254" s="12" t="inlineStr">
        <is>
          <t>3/C+G</t>
        </is>
      </c>
      <c r="M5254" s="12" t="inlineStr">
        <is>
          <t>4</t>
        </is>
      </c>
      <c r="N5254" s="12" t="n">
        <v>1</v>
      </c>
      <c r="O5254" s="12" t="n">
        <v>1</v>
      </c>
      <c r="P5254" s="12" t="n">
        <v>480</v>
      </c>
      <c r="Q5254" s="12" t="n">
        <v>30</v>
      </c>
      <c r="R5254" s="12" t="n">
        <v>42.5</v>
      </c>
      <c r="S5254" s="12" t="inlineStr">
        <is>
          <t>Duct bank</t>
        </is>
      </c>
      <c r="T5254" s="15" t="n">
        <v>258</v>
      </c>
      <c r="U5254" s="15" t="n">
        <v>172</v>
      </c>
      <c r="V5254" s="15">
        <f>ROUNDUP((T5254+U5254+2*'Read Me'!$B$13)*(1+'Read Me'!$B$12),-1)</f>
        <v/>
      </c>
      <c r="W5254" s="15">
        <f>V5254*N5254*O5254</f>
        <v/>
      </c>
      <c r="X5254" s="12">
        <f>IF(LEFT(I5254,2)="MV",2*N5254*IF(L5254="1/C",O5254,1),0)</f>
        <v/>
      </c>
      <c r="Y5254" s="12">
        <f>IF(OR(LEFT(K5254,4)="LVAX",LEFT(K5254,6)="MV15AX",LEFT(K5254,4)="CTAX",LEFT(K5254,2)="W|"),2*N5254*O5254,0)</f>
        <v/>
      </c>
      <c r="Z5254" s="12" t="inlineStr">
        <is>
          <t>VD 2.2 %</t>
        </is>
      </c>
      <c r="AA5254" s="12">
        <f>N5254*O5254</f>
        <v/>
      </c>
    </row>
    <row r="5255">
      <c r="A5255" s="12" t="inlineStr">
        <is>
          <t>I-P-0076</t>
        </is>
      </c>
      <c r="B5255" s="12" t="inlineStr">
        <is>
          <t>I</t>
        </is>
      </c>
      <c r="C5255" s="12" t="inlineStr">
        <is>
          <t>Modular / portable power</t>
        </is>
      </c>
      <c r="D5255" s="12" t="inlineStr">
        <is>
          <t>IG-1 package auxiliaries 480 V (from the unit auxiliary transformer in the control module)</t>
        </is>
      </c>
      <c r="E5255" s="12" t="inlineStr">
        <is>
          <t>IG-1</t>
        </is>
      </c>
      <c r="F5255" s="12" t="inlineStr">
        <is>
          <t>IG-1: industrial gas-turbine installation, ~50 MW class (~50 MW)</t>
        </is>
      </c>
      <c r="G5255" s="12" t="inlineStr">
        <is>
          <t>IG-1</t>
        </is>
      </c>
      <c r="H5255" s="12" t="inlineStr">
        <is>
          <t>IG-1: industrial gas-turbine installation, ~50 MW class (~50 MW)</t>
        </is>
      </c>
      <c r="I5255" s="12" t="inlineStr">
        <is>
          <t>LV 600 V</t>
        </is>
      </c>
      <c r="J5255" s="12" t="inlineStr">
        <is>
          <t>Type TC-ER 600 V 3/C Cu XHHW-2 + ground, PVC jacket</t>
        </is>
      </c>
      <c r="K5255" s="12" t="inlineStr">
        <is>
          <t>LV|3/C+G|500</t>
        </is>
      </c>
      <c r="L5255" s="12" t="inlineStr">
        <is>
          <t>3/C+G</t>
        </is>
      </c>
      <c r="M5255" s="12" t="inlineStr">
        <is>
          <t>500 kcmil</t>
        </is>
      </c>
      <c r="N5255" s="12" t="n">
        <v>2</v>
      </c>
      <c r="O5255" s="12" t="n">
        <v>1</v>
      </c>
      <c r="P5255" s="12" t="n">
        <v>480</v>
      </c>
      <c r="Q5255" s="12" t="n">
        <v>400</v>
      </c>
      <c r="R5255" s="12" t="n">
        <v>510</v>
      </c>
      <c r="S5255" s="12" t="inlineStr">
        <is>
          <t>Tray</t>
        </is>
      </c>
      <c r="T5255" s="15" t="n">
        <v>120</v>
      </c>
      <c r="U5255" s="15" t="n">
        <v>10</v>
      </c>
      <c r="V5255" s="15">
        <f>ROUNDUP((T5255+U5255+2*'Read Me'!$B$13)*(1+'Read Me'!$B$12),-1)</f>
        <v/>
      </c>
      <c r="W5255" s="15">
        <f>V5255*N5255*O5255</f>
        <v/>
      </c>
      <c r="X5255" s="12">
        <f>IF(LEFT(I5255,2)="MV",2*N5255*IF(L5255="1/C",O5255,1),0)</f>
        <v/>
      </c>
      <c r="Y5255" s="12">
        <f>IF(OR(LEFT(K5255,4)="LVAX",LEFT(K5255,6)="MV15AX",LEFT(K5255,4)="CTAX",LEFT(K5255,2)="W|"),2*N5255*O5255,0)</f>
        <v/>
      </c>
      <c r="Z5255" s="12" t="inlineStr">
        <is>
          <t>internal to the package</t>
        </is>
      </c>
      <c r="AA5255" s="12">
        <f>N5255*O5255</f>
        <v/>
      </c>
    </row>
    <row r="5256">
      <c r="A5256" s="12" t="inlineStr">
        <is>
          <t>I-P-0077</t>
        </is>
      </c>
      <c r="B5256" s="12" t="inlineStr">
        <is>
          <t>I</t>
        </is>
      </c>
      <c r="C5256" s="12" t="inlineStr">
        <is>
          <t>Modular / portable power</t>
        </is>
      </c>
      <c r="D5256" s="12" t="inlineStr">
        <is>
          <t>LGN-1 DC output to the inverter</t>
        </is>
      </c>
      <c r="E5256" s="12" t="inlineStr">
        <is>
          <t>LGN-1</t>
        </is>
      </c>
      <c r="F5256" s="12" t="inlineStr">
        <is>
          <t>LGN-1: linear generator ~250 kW (gas, no combustion engine), DC out</t>
        </is>
      </c>
      <c r="G5256" s="12" t="inlineStr">
        <is>
          <t>LGN-INV</t>
        </is>
      </c>
      <c r="H5256" s="12" t="inlineStr">
        <is>
          <t>LGN-INV: linear generator inverter / AC cabinet (480 V)</t>
        </is>
      </c>
      <c r="I5256" s="12" t="inlineStr">
        <is>
          <t>LV 600 V</t>
        </is>
      </c>
      <c r="J5256" s="12" t="inlineStr">
        <is>
          <t>XHHW-2 600 V 1/C Cu (feeder sets in tray / duct)</t>
        </is>
      </c>
      <c r="K5256" s="12" t="inlineStr">
        <is>
          <t>LV1C|1/C|500</t>
        </is>
      </c>
      <c r="L5256" s="12" t="inlineStr">
        <is>
          <t>1/C</t>
        </is>
      </c>
      <c r="M5256" s="12" t="inlineStr">
        <is>
          <t>500 kcmil</t>
        </is>
      </c>
      <c r="N5256" s="12" t="n">
        <v>2</v>
      </c>
      <c r="O5256" s="12" t="n">
        <v>2</v>
      </c>
      <c r="P5256" s="12" t="n">
        <v>800</v>
      </c>
      <c r="Q5256" s="12" t="n">
        <v>250</v>
      </c>
      <c r="R5256" s="12" t="n">
        <v>320</v>
      </c>
      <c r="S5256" s="12" t="inlineStr">
        <is>
          <t>Surface</t>
        </is>
      </c>
      <c r="T5256" s="15" t="n">
        <v>71</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DC, 2 sets of 2 x 1/C</t>
        </is>
      </c>
      <c r="AA5256" s="12">
        <f>N5256*O5256</f>
        <v/>
      </c>
    </row>
    <row r="5257">
      <c r="A5257" s="12" t="inlineStr">
        <is>
          <t>I-P-0078</t>
        </is>
      </c>
      <c r="B5257" s="12" t="inlineStr">
        <is>
          <t>I</t>
        </is>
      </c>
      <c r="C5257" s="12" t="inlineStr">
        <is>
          <t>Modular / portable power</t>
        </is>
      </c>
      <c r="D5257" s="12" t="inlineStr">
        <is>
          <t>LGN-2 DC output to the inverter</t>
        </is>
      </c>
      <c r="E5257" s="12" t="inlineStr">
        <is>
          <t>LGN-2</t>
        </is>
      </c>
      <c r="F5257" s="12" t="inlineStr">
        <is>
          <t>LGN-2: linear generator ~250 kW (gas, no combustion engine), DC out</t>
        </is>
      </c>
      <c r="G5257" s="12" t="inlineStr">
        <is>
          <t>LGN-INV</t>
        </is>
      </c>
      <c r="H5257" s="12" t="inlineStr">
        <is>
          <t>LGN-INV: linear generator inverter / AC cabinet (480 V)</t>
        </is>
      </c>
      <c r="I5257" s="12" t="inlineStr">
        <is>
          <t>LV 600 V</t>
        </is>
      </c>
      <c r="J5257" s="12" t="inlineStr">
        <is>
          <t>XHHW-2 600 V 1/C Cu (feeder sets in tray / duct)</t>
        </is>
      </c>
      <c r="K5257" s="12" t="inlineStr">
        <is>
          <t>LV1C|1/C|500</t>
        </is>
      </c>
      <c r="L5257" s="12" t="inlineStr">
        <is>
          <t>1/C</t>
        </is>
      </c>
      <c r="M5257" s="12" t="inlineStr">
        <is>
          <t>500 kcmil</t>
        </is>
      </c>
      <c r="N5257" s="12" t="n">
        <v>2</v>
      </c>
      <c r="O5257" s="12" t="n">
        <v>2</v>
      </c>
      <c r="P5257" s="12" t="n">
        <v>800</v>
      </c>
      <c r="Q5257" s="12" t="n">
        <v>250</v>
      </c>
      <c r="R5257" s="12" t="n">
        <v>320</v>
      </c>
      <c r="S5257" s="12" t="inlineStr">
        <is>
          <t>Surface</t>
        </is>
      </c>
      <c r="T5257" s="15" t="n">
        <v>57</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DC, 2 sets of 2 x 1/C</t>
        </is>
      </c>
      <c r="AA5257" s="12">
        <f>N5257*O5257</f>
        <v/>
      </c>
    </row>
    <row r="5258">
      <c r="A5258" s="12" t="inlineStr">
        <is>
          <t>I-P-0079</t>
        </is>
      </c>
      <c r="B5258" s="12" t="inlineStr">
        <is>
          <t>I</t>
        </is>
      </c>
      <c r="C5258" s="12" t="inlineStr">
        <is>
          <t>Modular / portable power</t>
        </is>
      </c>
      <c r="D5258" s="12" t="inlineStr">
        <is>
          <t>LGN-3 DC output to the inverter</t>
        </is>
      </c>
      <c r="E5258" s="12" t="inlineStr">
        <is>
          <t>LGN-3</t>
        </is>
      </c>
      <c r="F5258" s="12" t="inlineStr">
        <is>
          <t>LGN-3: linear generator ~250 kW (gas, no combustion engine), DC out</t>
        </is>
      </c>
      <c r="G5258" s="12" t="inlineStr">
        <is>
          <t>LGN-INV</t>
        </is>
      </c>
      <c r="H5258" s="12" t="inlineStr">
        <is>
          <t>LGN-INV: linear generator inverter / AC cabinet (480 V)</t>
        </is>
      </c>
      <c r="I5258" s="12" t="inlineStr">
        <is>
          <t>LV 600 V</t>
        </is>
      </c>
      <c r="J5258" s="12" t="inlineStr">
        <is>
          <t>XHHW-2 600 V 1/C Cu (feeder sets in tray / duct)</t>
        </is>
      </c>
      <c r="K5258" s="12" t="inlineStr">
        <is>
          <t>LV1C|1/C|500</t>
        </is>
      </c>
      <c r="L5258" s="12" t="inlineStr">
        <is>
          <t>1/C</t>
        </is>
      </c>
      <c r="M5258" s="12" t="inlineStr">
        <is>
          <t>500 kcmil</t>
        </is>
      </c>
      <c r="N5258" s="12" t="n">
        <v>2</v>
      </c>
      <c r="O5258" s="12" t="n">
        <v>2</v>
      </c>
      <c r="P5258" s="12" t="n">
        <v>800</v>
      </c>
      <c r="Q5258" s="12" t="n">
        <v>250</v>
      </c>
      <c r="R5258" s="12" t="n">
        <v>320</v>
      </c>
      <c r="S5258" s="12" t="inlineStr">
        <is>
          <t>Surface</t>
        </is>
      </c>
      <c r="T5258" s="15" t="n">
        <v>41</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DC, 2 sets of 2 x 1/C</t>
        </is>
      </c>
      <c r="AA5258" s="12">
        <f>N5258*O5258</f>
        <v/>
      </c>
    </row>
    <row r="5259">
      <c r="A5259" s="12" t="inlineStr">
        <is>
          <t>I-P-0080</t>
        </is>
      </c>
      <c r="B5259" s="12" t="inlineStr">
        <is>
          <t>I</t>
        </is>
      </c>
      <c r="C5259" s="12" t="inlineStr">
        <is>
          <t>Modular / portable power</t>
        </is>
      </c>
      <c r="D5259" s="12" t="inlineStr">
        <is>
          <t>LGN-4 DC output to the inverter</t>
        </is>
      </c>
      <c r="E5259" s="12" t="inlineStr">
        <is>
          <t>LGN-4</t>
        </is>
      </c>
      <c r="F5259" s="12" t="inlineStr">
        <is>
          <t>LGN-4: linear generator ~250 kW (gas, no combustion engine), DC out</t>
        </is>
      </c>
      <c r="G5259" s="12" t="inlineStr">
        <is>
          <t>LGN-INV</t>
        </is>
      </c>
      <c r="H5259" s="12" t="inlineStr">
        <is>
          <t>LGN-INV: linear generator inverter / AC cabinet (480 V)</t>
        </is>
      </c>
      <c r="I5259" s="12" t="inlineStr">
        <is>
          <t>LV 600 V</t>
        </is>
      </c>
      <c r="J5259" s="12" t="inlineStr">
        <is>
          <t>XHHW-2 600 V 1/C Cu (feeder sets in tray / duct)</t>
        </is>
      </c>
      <c r="K5259" s="12" t="inlineStr">
        <is>
          <t>LV1C|1/C|500</t>
        </is>
      </c>
      <c r="L5259" s="12" t="inlineStr">
        <is>
          <t>1/C</t>
        </is>
      </c>
      <c r="M5259" s="12" t="inlineStr">
        <is>
          <t>500 kcmil</t>
        </is>
      </c>
      <c r="N5259" s="12" t="n">
        <v>2</v>
      </c>
      <c r="O5259" s="12" t="n">
        <v>2</v>
      </c>
      <c r="P5259" s="12" t="n">
        <v>800</v>
      </c>
      <c r="Q5259" s="12" t="n">
        <v>250</v>
      </c>
      <c r="R5259" s="12" t="n">
        <v>320</v>
      </c>
      <c r="S5259" s="12" t="inlineStr">
        <is>
          <t>Surface</t>
        </is>
      </c>
      <c r="T5259" s="15" t="n">
        <v>33</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DC, 2 sets of 2 x 1/C</t>
        </is>
      </c>
      <c r="AA5259" s="12">
        <f>N5259*O5259</f>
        <v/>
      </c>
    </row>
    <row r="5260">
      <c r="A5260" s="12" t="inlineStr">
        <is>
          <t>I-P-0081</t>
        </is>
      </c>
      <c r="B5260" s="12" t="inlineStr">
        <is>
          <t>I</t>
        </is>
      </c>
      <c r="C5260" s="12" t="inlineStr">
        <is>
          <t>Modular / portable power</t>
        </is>
      </c>
      <c r="D5260" s="12" t="inlineStr">
        <is>
          <t>LV panel / distribution feeder</t>
        </is>
      </c>
      <c r="E5260" s="12" t="inlineStr"/>
      <c r="F5260" s="12" t="inlineStr">
        <is>
          <t>PCM: power control module</t>
        </is>
      </c>
      <c r="G5260" s="12" t="inlineStr"/>
      <c r="H5260" s="12" t="inlineStr">
        <is>
          <t>Lube oil / starting air / oily water building</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79</v>
      </c>
      <c r="R5260" s="12" t="n">
        <v>111.8</v>
      </c>
      <c r="S5260" s="12" t="inlineStr">
        <is>
          <t>Duct bank</t>
        </is>
      </c>
      <c r="T5260" s="15" t="n">
        <v>344</v>
      </c>
      <c r="U5260" s="15" t="n">
        <v>164</v>
      </c>
      <c r="V5260" s="15">
        <f>ROUNDUP((T5260+U5260+2*'Read Me'!$B$13)*(1+'Read Me'!$B$12),-1)</f>
        <v/>
      </c>
      <c r="W5260" s="15">
        <f>V5260*N5260*O5260</f>
        <v/>
      </c>
      <c r="X5260" s="12">
        <f>IF(LEFT(I5260,2)="MV",2*N5260*IF(L5260="1/C",O5260,1),0)</f>
        <v/>
      </c>
      <c r="Y5260" s="12">
        <f>IF(OR(LEFT(K5260,4)="LVAX",LEFT(K5260,6)="MV15AX",LEFT(K5260,4)="CTAX",LEFT(K5260,2)="W|"),2*N5260*O5260,0)</f>
        <v/>
      </c>
      <c r="Z5260" s="12" t="inlineStr">
        <is>
          <t>VD 2.8 %</t>
        </is>
      </c>
      <c r="AA5260" s="12">
        <f>N5260*O5260</f>
        <v/>
      </c>
    </row>
    <row r="5261">
      <c r="A5261" s="12" t="inlineStr">
        <is>
          <t>I-P-0082</t>
        </is>
      </c>
      <c r="B5261" s="12" t="inlineStr">
        <is>
          <t>I</t>
        </is>
      </c>
      <c r="C5261" s="12" t="inlineStr">
        <is>
          <t>Modular / portable power</t>
        </is>
      </c>
      <c r="D5261" s="12" t="inlineStr">
        <is>
          <t>LV panel / distribution feeder</t>
        </is>
      </c>
      <c r="E5261" s="12" t="inlineStr"/>
      <c r="F5261" s="12" t="inlineStr">
        <is>
          <t>MOD-LV 480 V board + 480 V : 13.8 kV step-up</t>
        </is>
      </c>
      <c r="G5261" s="12" t="inlineStr">
        <is>
          <t>MOD-EH</t>
        </is>
      </c>
      <c r="H5261" s="12" t="inlineStr">
        <is>
          <t>MOD-EH: 34.5 kV modular collector e-house (2 bus sections + 13.8 kV st</t>
        </is>
      </c>
      <c r="I5261" s="12" t="inlineStr">
        <is>
          <t>LV 600 V</t>
        </is>
      </c>
      <c r="J5261" s="12" t="inlineStr">
        <is>
          <t>Type TC-ER 600 V 3/C Cu XHHW-2 + ground, PVC jacket</t>
        </is>
      </c>
      <c r="K5261" s="12" t="inlineStr">
        <is>
          <t>LV|3/C+G|4</t>
        </is>
      </c>
      <c r="L5261" s="12" t="inlineStr">
        <is>
          <t>3/C+G</t>
        </is>
      </c>
      <c r="M5261" s="12" t="inlineStr">
        <is>
          <t>4</t>
        </is>
      </c>
      <c r="N5261" s="12" t="n">
        <v>1</v>
      </c>
      <c r="O5261" s="12" t="n">
        <v>1</v>
      </c>
      <c r="P5261" s="12" t="n">
        <v>480</v>
      </c>
      <c r="Q5261" s="12" t="n">
        <v>30</v>
      </c>
      <c r="R5261" s="12" t="n">
        <v>42.5</v>
      </c>
      <c r="S5261" s="12" t="inlineStr">
        <is>
          <t>Duct bank</t>
        </is>
      </c>
      <c r="T5261" s="15" t="n">
        <v>538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VD 3.0 %</t>
        </is>
      </c>
      <c r="AA5261" s="12">
        <f>N5261*O5261</f>
        <v/>
      </c>
    </row>
    <row r="5262">
      <c r="A5262" s="12" t="inlineStr">
        <is>
          <t>I-P-0083</t>
        </is>
      </c>
      <c r="B5262" s="12" t="inlineStr">
        <is>
          <t>I</t>
        </is>
      </c>
      <c r="C5262" s="12" t="inlineStr">
        <is>
          <t>Modular / portable power</t>
        </is>
      </c>
      <c r="D5262" s="12" t="inlineStr">
        <is>
          <t>MT-4 microturbine output to the site switchboard</t>
        </is>
      </c>
      <c r="E5262" s="12" t="inlineStr">
        <is>
          <t>MT-4</t>
        </is>
      </c>
      <c r="F5262" s="12" t="inlineStr">
        <is>
          <t>MT-4: microturbine 1 MW (1 MW package class)</t>
        </is>
      </c>
      <c r="G5262" s="12" t="inlineStr"/>
      <c r="H5262" s="12" t="inlineStr">
        <is>
          <t>MT-4..6 480 V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Duct bank</t>
        </is>
      </c>
      <c r="T5262" s="15" t="n">
        <v>56</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VD 0.3 %</t>
        </is>
      </c>
      <c r="AA5262" s="12">
        <f>N5262*O5262</f>
        <v/>
      </c>
    </row>
    <row r="5263">
      <c r="A5263" s="12" t="inlineStr">
        <is>
          <t>I-P-0084</t>
        </is>
      </c>
      <c r="B5263" s="12" t="inlineStr">
        <is>
          <t>I</t>
        </is>
      </c>
      <c r="C5263" s="12" t="inlineStr">
        <is>
          <t>Modular / portable power</t>
        </is>
      </c>
      <c r="D5263" s="12" t="inlineStr">
        <is>
          <t>MT-5 microturbine output to the site switchboard</t>
        </is>
      </c>
      <c r="E5263" s="12" t="inlineStr">
        <is>
          <t>MT-5</t>
        </is>
      </c>
      <c r="F5263" s="12" t="inlineStr">
        <is>
          <t>MT-5: microturbine 1 MW (1 MW package class)</t>
        </is>
      </c>
      <c r="G5263" s="12" t="inlineStr"/>
      <c r="H5263" s="12" t="inlineStr">
        <is>
          <t>MT-4..6 480 V switchboard</t>
        </is>
      </c>
      <c r="I5263" s="12" t="inlineStr">
        <is>
          <t>LV 600 V</t>
        </is>
      </c>
      <c r="J5263" s="12" t="inlineStr">
        <is>
          <t>Type TC-ER 600 V 3/C Cu XHHW-2 + ground, PVC jacket</t>
        </is>
      </c>
      <c r="K5263" s="12" t="inlineStr">
        <is>
          <t>LV|3/C+G|350</t>
        </is>
      </c>
      <c r="L5263" s="12" t="inlineStr">
        <is>
          <t>3/C+G</t>
        </is>
      </c>
      <c r="M5263" s="12" t="inlineStr">
        <is>
          <t>350 kcmil</t>
        </is>
      </c>
      <c r="N5263" s="12" t="n">
        <v>6</v>
      </c>
      <c r="O5263" s="12" t="n">
        <v>1</v>
      </c>
      <c r="P5263" s="12" t="n">
        <v>480</v>
      </c>
      <c r="Q5263" s="12" t="n">
        <v>1000</v>
      </c>
      <c r="R5263" s="12" t="n">
        <v>1266.2</v>
      </c>
      <c r="S5263" s="12" t="inlineStr">
        <is>
          <t>Duct bank</t>
        </is>
      </c>
      <c r="T5263" s="15" t="n">
        <v>42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I-P-0085</t>
        </is>
      </c>
      <c r="B5264" s="12" t="inlineStr">
        <is>
          <t>I</t>
        </is>
      </c>
      <c r="C5264" s="12" t="inlineStr">
        <is>
          <t>Modular / portable power</t>
        </is>
      </c>
      <c r="D5264" s="12" t="inlineStr">
        <is>
          <t>MT-6 microturbine output to the site switchboard</t>
        </is>
      </c>
      <c r="E5264" s="12" t="inlineStr">
        <is>
          <t>MT-6</t>
        </is>
      </c>
      <c r="F5264" s="12" t="inlineStr">
        <is>
          <t>MT-6: microturbine 1 MW (1 MW package class)</t>
        </is>
      </c>
      <c r="G5264" s="12" t="inlineStr"/>
      <c r="H5264" s="12" t="inlineStr">
        <is>
          <t>MT-4..6 480 V switchboard</t>
        </is>
      </c>
      <c r="I5264" s="12" t="inlineStr">
        <is>
          <t>LV 600 V</t>
        </is>
      </c>
      <c r="J5264" s="12" t="inlineStr">
        <is>
          <t>Type TC-ER 600 V 3/C Cu XHHW-2 + ground, PVC jacket</t>
        </is>
      </c>
      <c r="K5264" s="12" t="inlineStr">
        <is>
          <t>LV|3/C+G|350</t>
        </is>
      </c>
      <c r="L5264" s="12" t="inlineStr">
        <is>
          <t>3/C+G</t>
        </is>
      </c>
      <c r="M5264" s="12" t="inlineStr">
        <is>
          <t>350 kcmil</t>
        </is>
      </c>
      <c r="N5264" s="12" t="n">
        <v>6</v>
      </c>
      <c r="O5264" s="12" t="n">
        <v>1</v>
      </c>
      <c r="P5264" s="12" t="n">
        <v>480</v>
      </c>
      <c r="Q5264" s="12" t="n">
        <v>1000</v>
      </c>
      <c r="R5264" s="12" t="n">
        <v>1266.2</v>
      </c>
      <c r="S5264" s="12" t="inlineStr">
        <is>
          <t>Tray</t>
        </is>
      </c>
      <c r="T5264" s="15" t="n">
        <v>6</v>
      </c>
      <c r="U5264" s="15" t="n">
        <v>37</v>
      </c>
      <c r="V5264" s="15">
        <f>ROUNDUP((T5264+U5264+2*'Read Me'!$B$13)*(1+'Read Me'!$B$12),-1)</f>
        <v/>
      </c>
      <c r="W5264" s="15">
        <f>V5264*N5264*O5264</f>
        <v/>
      </c>
      <c r="X5264" s="12">
        <f>IF(LEFT(I5264,2)="MV",2*N5264*IF(L5264="1/C",O5264,1),0)</f>
        <v/>
      </c>
      <c r="Y5264" s="12">
        <f>IF(OR(LEFT(K5264,4)="LVAX",LEFT(K5264,6)="MV15AX",LEFT(K5264,4)="CTAX",LEFT(K5264,2)="W|"),2*N5264*O5264,0)</f>
        <v/>
      </c>
      <c r="Z5264" s="12" t="inlineStr">
        <is>
          <t>VD 0.1 %</t>
        </is>
      </c>
      <c r="AA5264" s="12">
        <f>N5264*O5264</f>
        <v/>
      </c>
    </row>
    <row r="5265">
      <c r="A5265" s="12" t="inlineStr">
        <is>
          <t>I-P-0086</t>
        </is>
      </c>
      <c r="B5265" s="12" t="inlineStr">
        <is>
          <t>I</t>
        </is>
      </c>
      <c r="C5265" s="12" t="inlineStr">
        <is>
          <t>Modular / portable power</t>
        </is>
      </c>
      <c r="D5265" s="12" t="inlineStr">
        <is>
          <t>Microturbine site switchboard to MT-TX 480 V secondary</t>
        </is>
      </c>
      <c r="E5265" s="12" t="inlineStr"/>
      <c r="F5265" s="12" t="inlineStr">
        <is>
          <t>MT-4..6 480 V switchboard</t>
        </is>
      </c>
      <c r="G5265" s="12" t="inlineStr">
        <is>
          <t>MT-TX</t>
        </is>
      </c>
      <c r="H5265" s="12" t="inlineStr">
        <is>
          <t>MT-TX: 480 V : 13.8 kV, ~3.75 MVA pad-mount (microturbine site)</t>
        </is>
      </c>
      <c r="I5265" s="12" t="inlineStr">
        <is>
          <t>LV 600 V</t>
        </is>
      </c>
      <c r="J5265" s="12" t="inlineStr">
        <is>
          <t>XHHW-2 600 V 1/C Cu (feeder sets in tray / duct)</t>
        </is>
      </c>
      <c r="K5265" s="12" t="inlineStr">
        <is>
          <t>LV1C|1/C|750</t>
        </is>
      </c>
      <c r="L5265" s="12" t="inlineStr">
        <is>
          <t>1/C</t>
        </is>
      </c>
      <c r="M5265" s="12" t="inlineStr">
        <is>
          <t>750 kcmil</t>
        </is>
      </c>
      <c r="N5265" s="12" t="n">
        <v>11</v>
      </c>
      <c r="O5265" s="12" t="n">
        <v>4</v>
      </c>
      <c r="P5265" s="12" t="n">
        <v>480</v>
      </c>
      <c r="Q5265" s="12" t="n">
        <v>3000</v>
      </c>
      <c r="R5265" s="12" t="n">
        <v>3798</v>
      </c>
      <c r="S5265" s="12" t="inlineStr">
        <is>
          <t>Duct bank</t>
        </is>
      </c>
      <c r="T5265" s="15" t="n">
        <v>0</v>
      </c>
      <c r="U5265" s="15" t="n">
        <v>36</v>
      </c>
      <c r="V5265" s="15">
        <f>ROUNDUP((T5265+U5265+2*'Read Me'!$B$13)*(1+'Read Me'!$B$12),-1)</f>
        <v/>
      </c>
      <c r="W5265" s="15">
        <f>V5265*N5265*O5265</f>
        <v/>
      </c>
      <c r="X5265" s="12">
        <f>IF(LEFT(I5265,2)="MV",2*N5265*IF(L5265="1/C",O5265,1),0)</f>
        <v/>
      </c>
      <c r="Y5265" s="12">
        <f>IF(OR(LEFT(K5265,4)="LVAX",LEFT(K5265,6)="MV15AX",LEFT(K5265,4)="CTAX",LEFT(K5265,2)="W|"),2*N5265*O5265,0)</f>
        <v/>
      </c>
      <c r="Z5265" s="12" t="inlineStr">
        <is>
          <t>11 sets of 4 x 1/C, short run</t>
        </is>
      </c>
      <c r="AA5265" s="12">
        <f>N5265*O5265</f>
        <v/>
      </c>
    </row>
    <row r="5266">
      <c r="A5266" s="12" t="inlineStr">
        <is>
          <t>I-P-0087</t>
        </is>
      </c>
      <c r="B5266" s="12" t="inlineStr">
        <is>
          <t>I</t>
        </is>
      </c>
      <c r="C5266" s="12" t="inlineStr">
        <is>
          <t>Modular / portable power</t>
        </is>
      </c>
      <c r="D5266" s="12" t="inlineStr">
        <is>
          <t>MTG-1 480 V auxiliaries (lube-oil pumps, cooler fans, enclosure ventilation)</t>
        </is>
      </c>
      <c r="E5266" s="12" t="inlineStr">
        <is>
          <t>MTG-CB</t>
        </is>
      </c>
      <c r="F5266" s="12" t="inlineStr">
        <is>
          <t>MTG-CB: control and MCC building (unit controls, 480 V MCC)</t>
        </is>
      </c>
      <c r="G5266" s="12" t="inlineStr">
        <is>
          <t>MTG-1</t>
        </is>
      </c>
      <c r="H5266" s="12" t="inlineStr">
        <is>
          <t xml:space="preserve">MTG-1: mid-size industrial gas-turbine generator package ~16 MW, 13.8 </t>
        </is>
      </c>
      <c r="I5266" s="12" t="inlineStr">
        <is>
          <t>LV 600 V</t>
        </is>
      </c>
      <c r="J5266" s="12" t="inlineStr">
        <is>
          <t>Type TC-ER 600 V 3/C Cu XHHW-2 + ground, PVC jacket</t>
        </is>
      </c>
      <c r="K5266" s="12" t="inlineStr">
        <is>
          <t>LV|3/C+G|250</t>
        </is>
      </c>
      <c r="L5266" s="12" t="inlineStr">
        <is>
          <t>3/C+G</t>
        </is>
      </c>
      <c r="M5266" s="12" t="inlineStr">
        <is>
          <t>250 kcmil</t>
        </is>
      </c>
      <c r="N5266" s="12" t="n">
        <v>1</v>
      </c>
      <c r="O5266" s="12" t="n">
        <v>1</v>
      </c>
      <c r="P5266" s="12" t="n">
        <v>480</v>
      </c>
      <c r="Q5266" s="12" t="n">
        <v>120</v>
      </c>
      <c r="R5266" s="12" t="n">
        <v>170</v>
      </c>
      <c r="S5266" s="12" t="inlineStr">
        <is>
          <t>Duct bank</t>
        </is>
      </c>
      <c r="T5266" s="15" t="n">
        <v>10</v>
      </c>
      <c r="U5266" s="15" t="n">
        <v>36</v>
      </c>
      <c r="V5266" s="15">
        <f>ROUNDUP((T5266+U5266+2*'Read Me'!$B$13)*(1+'Read Me'!$B$12),-1)</f>
        <v/>
      </c>
      <c r="W5266" s="15">
        <f>V5266*N5266*O5266</f>
        <v/>
      </c>
      <c r="X5266" s="12">
        <f>IF(LEFT(I5266,2)="MV",2*N5266*IF(L5266="1/C",O5266,1),0)</f>
        <v/>
      </c>
      <c r="Y5266" s="12">
        <f>IF(OR(LEFT(K5266,4)="LVAX",LEFT(K5266,6)="MV15AX",LEFT(K5266,4)="CTAX",LEFT(K5266,2)="W|"),2*N5266*O5266,0)</f>
        <v/>
      </c>
      <c r="Z5266" s="12" t="inlineStr"/>
      <c r="AA5266" s="12">
        <f>N5266*O5266</f>
        <v/>
      </c>
    </row>
    <row r="5267">
      <c r="A5267" s="12" t="inlineStr">
        <is>
          <t>I-P-0088</t>
        </is>
      </c>
      <c r="B5267" s="12" t="inlineStr">
        <is>
          <t>I</t>
        </is>
      </c>
      <c r="C5267" s="12" t="inlineStr">
        <is>
          <t>Modular / portable power</t>
        </is>
      </c>
      <c r="D5267" s="12" t="inlineStr">
        <is>
          <t>MTG-2 480 V auxiliaries (lube-oil pumps, cooler fans, enclosure ventilation)</t>
        </is>
      </c>
      <c r="E5267" s="12" t="inlineStr">
        <is>
          <t>MTG-CB</t>
        </is>
      </c>
      <c r="F5267" s="12" t="inlineStr">
        <is>
          <t>MTG-CB: control and MCC building (unit controls, 480 V MCC)</t>
        </is>
      </c>
      <c r="G5267" s="12" t="inlineStr">
        <is>
          <t>MTG-2</t>
        </is>
      </c>
      <c r="H5267" s="12" t="inlineStr">
        <is>
          <t xml:space="preserve">MTG-2: mid-size industrial gas-turbine generator package ~16 MW, 13.8 </t>
        </is>
      </c>
      <c r="I5267" s="12" t="inlineStr">
        <is>
          <t>LV 600 V</t>
        </is>
      </c>
      <c r="J5267" s="12" t="inlineStr">
        <is>
          <t>Type TC-ER 600 V 3/C Cu XHHW-2 + ground, PVC jacket</t>
        </is>
      </c>
      <c r="K5267" s="12" t="inlineStr">
        <is>
          <t>LV|3/C+G|250</t>
        </is>
      </c>
      <c r="L5267" s="12" t="inlineStr">
        <is>
          <t>3/C+G</t>
        </is>
      </c>
      <c r="M5267" s="12" t="inlineStr">
        <is>
          <t>250 kcmil</t>
        </is>
      </c>
      <c r="N5267" s="12" t="n">
        <v>1</v>
      </c>
      <c r="O5267" s="12" t="n">
        <v>1</v>
      </c>
      <c r="P5267" s="12" t="n">
        <v>480</v>
      </c>
      <c r="Q5267" s="12" t="n">
        <v>120</v>
      </c>
      <c r="R5267" s="12" t="n">
        <v>170</v>
      </c>
      <c r="S5267" s="12" t="inlineStr">
        <is>
          <t>Duct bank</t>
        </is>
      </c>
      <c r="T5267" s="15" t="n">
        <v>43</v>
      </c>
      <c r="U5267" s="15" t="n">
        <v>37</v>
      </c>
      <c r="V5267" s="15">
        <f>ROUNDUP((T5267+U5267+2*'Read Me'!$B$13)*(1+'Read Me'!$B$12),-1)</f>
        <v/>
      </c>
      <c r="W5267" s="15">
        <f>V5267*N5267*O5267</f>
        <v/>
      </c>
      <c r="X5267" s="12">
        <f>IF(LEFT(I5267,2)="MV",2*N5267*IF(L5267="1/C",O5267,1),0)</f>
        <v/>
      </c>
      <c r="Y5267" s="12">
        <f>IF(OR(LEFT(K5267,4)="LVAX",LEFT(K5267,6)="MV15AX",LEFT(K5267,4)="CTAX",LEFT(K5267,2)="W|"),2*N5267*O5267,0)</f>
        <v/>
      </c>
      <c r="Z5267" s="12" t="inlineStr"/>
      <c r="AA5267" s="12">
        <f>N5267*O5267</f>
        <v/>
      </c>
    </row>
    <row r="5268">
      <c r="A5268" s="12" t="inlineStr">
        <is>
          <t>I-P-0089</t>
        </is>
      </c>
      <c r="B5268" s="12" t="inlineStr">
        <is>
          <t>I</t>
        </is>
      </c>
      <c r="C5268" s="12" t="inlineStr">
        <is>
          <t>Modular / portable power</t>
        </is>
      </c>
      <c r="D5268" s="12" t="inlineStr">
        <is>
          <t>MTG-CB 480 V MCC from MTG-AUX</t>
        </is>
      </c>
      <c r="E5268" s="12" t="inlineStr">
        <is>
          <t>MTG-AUX</t>
        </is>
      </c>
      <c r="F5268" s="12" t="inlineStr">
        <is>
          <t>MTG-AUX: 13.8 / 0.48 kV auxiliary transformer</t>
        </is>
      </c>
      <c r="G5268" s="12" t="inlineStr">
        <is>
          <t>MTG-CB</t>
        </is>
      </c>
      <c r="H5268" s="12" t="inlineStr">
        <is>
          <t>MTG-CB: control and MCC building (unit controls, 480 V MCC)</t>
        </is>
      </c>
      <c r="I5268" s="12" t="inlineStr">
        <is>
          <t>LV 600 V</t>
        </is>
      </c>
      <c r="J5268" s="12" t="inlineStr">
        <is>
          <t>Type TC-ER 600 V 3/C Cu XHHW-2 + ground, PVC jacket</t>
        </is>
      </c>
      <c r="K5268" s="12" t="inlineStr">
        <is>
          <t>LV|3/C+G|500</t>
        </is>
      </c>
      <c r="L5268" s="12" t="inlineStr">
        <is>
          <t>3/C+G</t>
        </is>
      </c>
      <c r="M5268" s="12" t="inlineStr">
        <is>
          <t>500 kcmil</t>
        </is>
      </c>
      <c r="N5268" s="12" t="n">
        <v>3</v>
      </c>
      <c r="O5268" s="12" t="n">
        <v>1</v>
      </c>
      <c r="P5268" s="12" t="n">
        <v>480</v>
      </c>
      <c r="Q5268" s="12" t="n">
        <v>600</v>
      </c>
      <c r="R5268" s="12" t="n">
        <v>759.7</v>
      </c>
      <c r="S5268" s="12" t="inlineStr">
        <is>
          <t>Duct bank</t>
        </is>
      </c>
      <c r="T5268" s="15" t="n">
        <v>58</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I-P-0090</t>
        </is>
      </c>
      <c r="B5269" s="12" t="inlineStr">
        <is>
          <t>I</t>
        </is>
      </c>
      <c r="C5269" s="12" t="inlineStr">
        <is>
          <t>Modular / portable power</t>
        </is>
      </c>
      <c r="D5269" s="12" t="inlineStr">
        <is>
          <t>MTG-FG gas heater and skid power (Class I Div 2)</t>
        </is>
      </c>
      <c r="E5269" s="12" t="inlineStr">
        <is>
          <t>MTG-CB</t>
        </is>
      </c>
      <c r="F5269" s="12" t="inlineStr">
        <is>
          <t>MTG-CB: control and MCC building (unit controls, 480 V MCC)</t>
        </is>
      </c>
      <c r="G5269" s="12" t="inlineStr">
        <is>
          <t>MTG-FG</t>
        </is>
      </c>
      <c r="H5269" s="12" t="inlineStr">
        <is>
          <t>MTG-FG: fuel-gas conditioning skid (scrubber, filter-separator, heater</t>
        </is>
      </c>
      <c r="I5269" s="12" t="inlineStr">
        <is>
          <t>LV 600 V</t>
        </is>
      </c>
      <c r="J5269" s="12" t="inlineStr">
        <is>
          <t>ARMOR-X MC-HL 600 V 3/C Cu XHHW-2 + ground, CWA, black PVC (Class I Div 2)</t>
        </is>
      </c>
      <c r="K5269" s="12" t="inlineStr">
        <is>
          <t>LVAX|3/C+G|2</t>
        </is>
      </c>
      <c r="L5269" s="12" t="inlineStr">
        <is>
          <t>3/C+G</t>
        </is>
      </c>
      <c r="M5269" s="12" t="inlineStr">
        <is>
          <t>2</t>
        </is>
      </c>
      <c r="N5269" s="12" t="n">
        <v>1</v>
      </c>
      <c r="O5269" s="12" t="n">
        <v>1</v>
      </c>
      <c r="P5269" s="12" t="n">
        <v>480</v>
      </c>
      <c r="Q5269" s="12" t="n">
        <v>60</v>
      </c>
      <c r="R5269" s="12" t="n">
        <v>84.90000000000001</v>
      </c>
      <c r="S5269" s="12" t="inlineStr">
        <is>
          <t>Duct bank</t>
        </is>
      </c>
      <c r="T5269" s="15" t="n">
        <v>36</v>
      </c>
      <c r="U5269" s="15" t="n">
        <v>102</v>
      </c>
      <c r="V5269" s="15">
        <f>ROUNDUP((T5269+U5269+2*'Read Me'!$B$13)*(1+'Read Me'!$B$12),-1)</f>
        <v/>
      </c>
      <c r="W5269" s="15">
        <f>V5269*N5269*O5269</f>
        <v/>
      </c>
      <c r="X5269" s="12">
        <f>IF(LEFT(I5269,2)="MV",2*N5269*IF(L5269="1/C",O5269,1),0)</f>
        <v/>
      </c>
      <c r="Y5269" s="12">
        <f>IF(OR(LEFT(K5269,4)="LVAX",LEFT(K5269,6)="MV15AX",LEFT(K5269,4)="CTAX",LEFT(K5269,2)="W|"),2*N5269*O5269,0)</f>
        <v/>
      </c>
      <c r="Z5269" s="12" t="inlineStr">
        <is>
          <t>VD 0.9 %</t>
        </is>
      </c>
      <c r="AA5269" s="12">
        <f>N5269*O5269</f>
        <v/>
      </c>
    </row>
    <row r="5270">
      <c r="A5270" s="12" t="inlineStr">
        <is>
          <t>I-P-0091</t>
        </is>
      </c>
      <c r="B5270" s="12" t="inlineStr">
        <is>
          <t>I</t>
        </is>
      </c>
      <c r="C5270" s="12" t="inlineStr">
        <is>
          <t>Modular / portable power</t>
        </is>
      </c>
      <c r="D5270" s="12" t="inlineStr">
        <is>
          <t>MTG-SWG station service: DC charger, heaters, HVAC, lighting</t>
        </is>
      </c>
      <c r="E5270" s="12" t="inlineStr">
        <is>
          <t>MTG-CB</t>
        </is>
      </c>
      <c r="F5270" s="12" t="inlineStr">
        <is>
          <t>MTG-CB: control and MCC building (unit controls, 480 V MCC)</t>
        </is>
      </c>
      <c r="G5270" s="12" t="inlineStr">
        <is>
          <t>MTG-SWG</t>
        </is>
      </c>
      <c r="H5270" s="12" t="inlineStr">
        <is>
          <t>MTG-SWG: 13.8 kV switchgear e-house (2 generator breakers, site feeder</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45</v>
      </c>
      <c r="R5270" s="12" t="n">
        <v>57</v>
      </c>
      <c r="S5270" s="12" t="inlineStr">
        <is>
          <t>Duct bank</t>
        </is>
      </c>
      <c r="T5270" s="15" t="n">
        <v>44</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VD 0.5 %</t>
        </is>
      </c>
      <c r="AA5270" s="12">
        <f>N5270*O5270</f>
        <v/>
      </c>
    </row>
    <row r="5271">
      <c r="A5271" s="12" t="inlineStr">
        <is>
          <t>I-P-0092</t>
        </is>
      </c>
      <c r="B5271" s="12" t="inlineStr">
        <is>
          <t>I</t>
        </is>
      </c>
      <c r="C5271" s="12" t="inlineStr">
        <is>
          <t>Modular / portable power</t>
        </is>
      </c>
      <c r="D5271" s="12" t="inlineStr">
        <is>
          <t>PAD-EH station service: DC charger, heaters, HVAC, lighting</t>
        </is>
      </c>
      <c r="E5271" s="12" t="inlineStr">
        <is>
          <t>PAD-LV</t>
        </is>
      </c>
      <c r="F5271" s="12" t="inlineStr">
        <is>
          <t>PAD-LV 480 V paralleling switchboard</t>
        </is>
      </c>
      <c r="G5271" s="12" t="inlineStr">
        <is>
          <t>PAD-EH</t>
        </is>
      </c>
      <c r="H5271" s="12" t="inlineStr">
        <is>
          <t>PAD-EH 13.8 kV switchgear e-house</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5" t="n">
        <v>40</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VD 0.4 %</t>
        </is>
      </c>
      <c r="AA5271" s="12">
        <f>N5271*O5271</f>
        <v/>
      </c>
    </row>
    <row r="5272">
      <c r="A5272" s="12" t="inlineStr">
        <is>
          <t>I-P-0093</t>
        </is>
      </c>
      <c r="B5272" s="12" t="inlineStr">
        <is>
          <t>I</t>
        </is>
      </c>
      <c r="C5272" s="12" t="inlineStr">
        <is>
          <t>Modular / portable power</t>
        </is>
      </c>
      <c r="D5272" s="12" t="inlineStr">
        <is>
          <t>LGN-INV 480 V AC to PAD-LV</t>
        </is>
      </c>
      <c r="E5272" s="12" t="inlineStr">
        <is>
          <t>LGN-INV</t>
        </is>
      </c>
      <c r="F5272" s="12" t="inlineStr">
        <is>
          <t>LGN-INV: linear generator inverter / AC cabinet (480 V)</t>
        </is>
      </c>
      <c r="G5272" s="12" t="inlineStr">
        <is>
          <t>PAD-LV</t>
        </is>
      </c>
      <c r="H5272" s="12" t="inlineStr">
        <is>
          <t>PAD-LV 480 V paralleling switchboard</t>
        </is>
      </c>
      <c r="I5272" s="12" t="inlineStr">
        <is>
          <t>LV 600 V</t>
        </is>
      </c>
      <c r="J5272" s="12" t="inlineStr">
        <is>
          <t>Type TC-ER 600 V 3/C Cu XHHW-2 + ground, PVC jacket</t>
        </is>
      </c>
      <c r="K5272" s="12" t="inlineStr">
        <is>
          <t>LV|3/C+G|350</t>
        </is>
      </c>
      <c r="L5272" s="12" t="inlineStr">
        <is>
          <t>3/C+G</t>
        </is>
      </c>
      <c r="M5272" s="12" t="inlineStr">
        <is>
          <t>350 kcmil</t>
        </is>
      </c>
      <c r="N5272" s="12" t="n">
        <v>6</v>
      </c>
      <c r="O5272" s="12" t="n">
        <v>1</v>
      </c>
      <c r="P5272" s="12" t="n">
        <v>480</v>
      </c>
      <c r="Q5272" s="12" t="n">
        <v>1000</v>
      </c>
      <c r="R5272" s="12" t="n">
        <v>1266.2</v>
      </c>
      <c r="S5272" s="12" t="inlineStr">
        <is>
          <t>Duct bank</t>
        </is>
      </c>
      <c r="T5272" s="15" t="n">
        <v>33</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VD 0.2 %</t>
        </is>
      </c>
      <c r="AA5272" s="12">
        <f>N5272*O5272</f>
        <v/>
      </c>
    </row>
    <row r="5273">
      <c r="A5273" s="12" t="inlineStr">
        <is>
          <t>I-P-0094</t>
        </is>
      </c>
      <c r="B5273" s="12" t="inlineStr">
        <is>
          <t>I</t>
        </is>
      </c>
      <c r="C5273" s="12" t="inlineStr">
        <is>
          <t>Modular / portable power</t>
        </is>
      </c>
      <c r="D5273" s="12" t="inlineStr">
        <is>
          <t>Fuel-cell AC cabinet to PAD-LV</t>
        </is>
      </c>
      <c r="E5273" s="12" t="inlineStr"/>
      <c r="F5273" s="12" t="inlineStr">
        <is>
          <t>FC-5..8 inverter / AC cabinet / desulfurizer</t>
        </is>
      </c>
      <c r="G5273" s="12" t="inlineStr">
        <is>
          <t>PAD-LV</t>
        </is>
      </c>
      <c r="H5273" s="12" t="inlineStr">
        <is>
          <t>PAD-LV 480 V paralleling switchboard</t>
        </is>
      </c>
      <c r="I5273" s="12" t="inlineStr">
        <is>
          <t>LV 600 V</t>
        </is>
      </c>
      <c r="J5273" s="12" t="inlineStr">
        <is>
          <t>Type TC-ER 600 V 3/C Cu XHHW-2 + ground, PVC jacket</t>
        </is>
      </c>
      <c r="K5273" s="12" t="inlineStr">
        <is>
          <t>LV|3/C+G|350</t>
        </is>
      </c>
      <c r="L5273" s="12" t="inlineStr">
        <is>
          <t>3/C+G</t>
        </is>
      </c>
      <c r="M5273" s="12" t="inlineStr">
        <is>
          <t>350 kcmil</t>
        </is>
      </c>
      <c r="N5273" s="12" t="n">
        <v>6</v>
      </c>
      <c r="O5273" s="12" t="n">
        <v>1</v>
      </c>
      <c r="P5273" s="12" t="n">
        <v>480</v>
      </c>
      <c r="Q5273" s="12" t="n">
        <v>1000</v>
      </c>
      <c r="R5273" s="12" t="n">
        <v>1266.2</v>
      </c>
      <c r="S5273" s="12" t="inlineStr">
        <is>
          <t>Surface</t>
        </is>
      </c>
      <c r="T5273" s="15" t="n">
        <v>157</v>
      </c>
      <c r="U5273" s="15" t="n">
        <v>27</v>
      </c>
      <c r="V5273" s="15">
        <f>ROUNDUP((T5273+U5273+2*'Read Me'!$B$13)*(1+'Read Me'!$B$12),-1)</f>
        <v/>
      </c>
      <c r="W5273" s="15">
        <f>V5273*N5273*O5273</f>
        <v/>
      </c>
      <c r="X5273" s="12">
        <f>IF(LEFT(I5273,2)="MV",2*N5273*IF(L5273="1/C",O5273,1),0)</f>
        <v/>
      </c>
      <c r="Y5273" s="12">
        <f>IF(OR(LEFT(K5273,4)="LVAX",LEFT(K5273,6)="MV15AX",LEFT(K5273,4)="CTAX",LEFT(K5273,2)="W|"),2*N5273*O5273,0)</f>
        <v/>
      </c>
      <c r="Z5273" s="12" t="inlineStr">
        <is>
          <t>VD 0.6 %</t>
        </is>
      </c>
      <c r="AA5273" s="12">
        <f>N5273*O5273</f>
        <v/>
      </c>
    </row>
    <row r="5274">
      <c r="A5274" s="12" t="inlineStr">
        <is>
          <t>I-P-0095</t>
        </is>
      </c>
      <c r="B5274" s="12" t="inlineStr">
        <is>
          <t>I</t>
        </is>
      </c>
      <c r="C5274" s="12" t="inlineStr">
        <is>
          <t>Modular / portable power</t>
        </is>
      </c>
      <c r="D5274" s="12" t="inlineStr">
        <is>
          <t>PAD-LV to PAD-TX</t>
        </is>
      </c>
      <c r="E5274" s="12" t="inlineStr">
        <is>
          <t>PAD-LV</t>
        </is>
      </c>
      <c r="F5274" s="12" t="inlineStr">
        <is>
          <t>PAD-LV 480 V paralleling switchboard</t>
        </is>
      </c>
      <c r="G5274" s="12" t="inlineStr">
        <is>
          <t>PAD-TX</t>
        </is>
      </c>
      <c r="H5274" s="12" t="inlineStr">
        <is>
          <t>PAD-TX 480 V : 13.8 kV</t>
        </is>
      </c>
      <c r="I5274" s="12" t="inlineStr">
        <is>
          <t>LV 600 V</t>
        </is>
      </c>
      <c r="J5274" s="12" t="inlineStr">
        <is>
          <t>XHHW-2 600 V 1/C Cu (feeder sets in tray / duct)</t>
        </is>
      </c>
      <c r="K5274" s="12" t="inlineStr">
        <is>
          <t>LV1C|1/C|500</t>
        </is>
      </c>
      <c r="L5274" s="12" t="inlineStr">
        <is>
          <t>1/C</t>
        </is>
      </c>
      <c r="M5274" s="12" t="inlineStr">
        <is>
          <t>500 kcmil</t>
        </is>
      </c>
      <c r="N5274" s="12" t="n">
        <v>8</v>
      </c>
      <c r="O5274" s="12" t="n">
        <v>4</v>
      </c>
      <c r="P5274" s="12" t="n">
        <v>480</v>
      </c>
      <c r="Q5274" s="12" t="n">
        <v>2000</v>
      </c>
      <c r="R5274" s="12" t="n">
        <v>2400</v>
      </c>
      <c r="S5274" s="12" t="inlineStr">
        <is>
          <t>Surface</t>
        </is>
      </c>
      <c r="T5274" s="15" t="n">
        <v>25</v>
      </c>
      <c r="U5274" s="15" t="n">
        <v>27</v>
      </c>
      <c r="V5274" s="15">
        <f>ROUNDUP((T5274+U5274+2*'Read Me'!$B$13)*(1+'Read Me'!$B$12),-1)</f>
        <v/>
      </c>
      <c r="W5274" s="15">
        <f>V5274*N5274*O5274</f>
        <v/>
      </c>
      <c r="X5274" s="12">
        <f>IF(LEFT(I5274,2)="MV",2*N5274*IF(L5274="1/C",O5274,1),0)</f>
        <v/>
      </c>
      <c r="Y5274" s="12">
        <f>IF(OR(LEFT(K5274,4)="LVAX",LEFT(K5274,6)="MV15AX",LEFT(K5274,4)="CTAX",LEFT(K5274,2)="W|"),2*N5274*O5274,0)</f>
        <v/>
      </c>
      <c r="Z5274" s="12" t="inlineStr">
        <is>
          <t>8 sets of 4 x 1/C (fuel-cell and linear-generator outputs)</t>
        </is>
      </c>
      <c r="AA5274" s="12">
        <f>N5274*O5274</f>
        <v/>
      </c>
    </row>
    <row r="5275">
      <c r="A5275" s="12" t="inlineStr">
        <is>
          <t>I-P-0096</t>
        </is>
      </c>
      <c r="B5275" s="12" t="inlineStr">
        <is>
          <t>I</t>
        </is>
      </c>
      <c r="C5275" s="12" t="inlineStr">
        <is>
          <t>Modular / portable power</t>
        </is>
      </c>
      <c r="D5275" s="12" t="inlineStr">
        <is>
          <t>LV panel / distribution feeder</t>
        </is>
      </c>
      <c r="E5275" s="12" t="inlineStr"/>
      <c r="F5275" s="12" t="inlineStr">
        <is>
          <t>PCM: power control module</t>
        </is>
      </c>
      <c r="G5275" s="12" t="inlineStr"/>
      <c r="H5275" s="12" t="inlineStr">
        <is>
          <t>PCM: power control module</t>
        </is>
      </c>
      <c r="I5275" s="12" t="inlineStr">
        <is>
          <t>LV 600 V</t>
        </is>
      </c>
      <c r="J5275" s="12" t="inlineStr">
        <is>
          <t>Type TC-ER 600 V 3/C Cu XHHW-2 + ground, PVC jacket</t>
        </is>
      </c>
      <c r="K5275" s="12" t="inlineStr">
        <is>
          <t>LV|3/C+G|4</t>
        </is>
      </c>
      <c r="L5275" s="12" t="inlineStr">
        <is>
          <t>3/C+G</t>
        </is>
      </c>
      <c r="M5275" s="12" t="inlineStr">
        <is>
          <t>4</t>
        </is>
      </c>
      <c r="N5275" s="12" t="n">
        <v>1</v>
      </c>
      <c r="O5275" s="12" t="n">
        <v>1</v>
      </c>
      <c r="P5275" s="12" t="n">
        <v>480</v>
      </c>
      <c r="Q5275" s="12" t="n">
        <v>38</v>
      </c>
      <c r="R5275" s="12" t="n">
        <v>53.8</v>
      </c>
      <c r="S5275" s="12" t="inlineStr">
        <is>
          <t>Tray</t>
        </is>
      </c>
      <c r="T5275" s="15" t="n">
        <v>0</v>
      </c>
      <c r="U5275" s="15" t="n">
        <v>32</v>
      </c>
      <c r="V5275" s="15">
        <f>ROUNDUP((T5275+U5275+2*'Read Me'!$B$13)*(1+'Read Me'!$B$12),-1)</f>
        <v/>
      </c>
      <c r="W5275" s="15">
        <f>V5275*N5275*O5275</f>
        <v/>
      </c>
      <c r="X5275" s="12">
        <f>IF(LEFT(I5275,2)="MV",2*N5275*IF(L5275="1/C",O5275,1),0)</f>
        <v/>
      </c>
      <c r="Y5275" s="12">
        <f>IF(OR(LEFT(K5275,4)="LVAX",LEFT(K5275,6)="MV15AX",LEFT(K5275,4)="CTAX",LEFT(K5275,2)="W|"),2*N5275*O5275,0)</f>
        <v/>
      </c>
      <c r="Z5275" s="12" t="inlineStr">
        <is>
          <t>VD 0.2 %</t>
        </is>
      </c>
      <c r="AA5275" s="12">
        <f>N5275*O5275</f>
        <v/>
      </c>
    </row>
    <row r="5276">
      <c r="A5276" s="12" t="inlineStr">
        <is>
          <t>I-P-0097</t>
        </is>
      </c>
      <c r="B5276" s="12" t="inlineStr">
        <is>
          <t>I</t>
        </is>
      </c>
      <c r="C5276" s="12" t="inlineStr">
        <is>
          <t>Modular / portable power</t>
        </is>
      </c>
      <c r="D5276" s="12" t="inlineStr">
        <is>
          <t>PGS-1 480 V generator leads to the paralleling switchgear</t>
        </is>
      </c>
      <c r="E5276" s="12" t="inlineStr">
        <is>
          <t>PGS-1</t>
        </is>
      </c>
      <c r="F5276" s="12" t="inlineStr">
        <is>
          <t>PGS-1: enclosed gas genset 1 MW, 480 V (paralleled, unit 1 of 8)</t>
        </is>
      </c>
      <c r="G5276" s="12" t="inlineStr">
        <is>
          <t>PGS-SWG</t>
        </is>
      </c>
      <c r="H5276" s="12" t="inlineStr">
        <is>
          <t>PGS-SWG: 480 V paralleling switchgear (8 generator breakers, 2 transfo</t>
        </is>
      </c>
      <c r="I5276" s="12" t="inlineStr">
        <is>
          <t>LV 600 V</t>
        </is>
      </c>
      <c r="J5276" s="12" t="inlineStr">
        <is>
          <t>XHHW-2 600 V 1/C Cu (feeder sets in tray / duct)</t>
        </is>
      </c>
      <c r="K5276" s="12" t="inlineStr">
        <is>
          <t>LV1C|1/C|500</t>
        </is>
      </c>
      <c r="L5276" s="12" t="inlineStr">
        <is>
          <t>1/C</t>
        </is>
      </c>
      <c r="M5276" s="12" t="inlineStr">
        <is>
          <t>500 kcmil</t>
        </is>
      </c>
      <c r="N5276" s="12" t="n">
        <v>4</v>
      </c>
      <c r="O5276" s="12" t="n">
        <v>4</v>
      </c>
      <c r="P5276" s="12" t="n">
        <v>480</v>
      </c>
      <c r="Q5276" s="12" t="n">
        <v>1000</v>
      </c>
      <c r="R5276" s="12" t="n">
        <v>1203</v>
      </c>
      <c r="S5276" s="12" t="inlineStr">
        <is>
          <t>Riser</t>
        </is>
      </c>
      <c r="T5276" s="15" t="n">
        <v>4</v>
      </c>
      <c r="U5276" s="15" t="n">
        <v>27</v>
      </c>
      <c r="V5276" s="15">
        <f>ROUNDUP((T5276+U5276+2*'Read Me'!$B$13)*(1+'Read Me'!$B$12),-1)</f>
        <v/>
      </c>
      <c r="W5276" s="15">
        <f>V5276*N5276*O5276</f>
        <v/>
      </c>
      <c r="X5276" s="12">
        <f>IF(LEFT(I5276,2)="MV",2*N5276*IF(L5276="1/C",O5276,1),0)</f>
        <v/>
      </c>
      <c r="Y5276" s="12">
        <f>IF(OR(LEFT(K5276,4)="LVAX",LEFT(K5276,6)="MV15AX",LEFT(K5276,4)="CTAX",LEFT(K5276,2)="W|"),2*N5276*O5276,0)</f>
        <v/>
      </c>
      <c r="Z5276" s="12" t="inlineStr">
        <is>
          <t>4 sets of 4 x 1/C</t>
        </is>
      </c>
      <c r="AA5276" s="12">
        <f>N5276*O5276</f>
        <v/>
      </c>
    </row>
    <row r="5277">
      <c r="A5277" s="12" t="inlineStr">
        <is>
          <t>I-P-0098</t>
        </is>
      </c>
      <c r="B5277" s="12" t="inlineStr">
        <is>
          <t>I</t>
        </is>
      </c>
      <c r="C5277" s="12" t="inlineStr">
        <is>
          <t>Modular / portable power</t>
        </is>
      </c>
      <c r="D5277" s="12" t="inlineStr">
        <is>
          <t>PGS-2 480 V generator leads to the paralleling switchgear</t>
        </is>
      </c>
      <c r="E5277" s="12" t="inlineStr">
        <is>
          <t>PGS-2</t>
        </is>
      </c>
      <c r="F5277" s="12" t="inlineStr">
        <is>
          <t>PGS-2: enclosed gas genset 1 MW, 480 V (paralleled, unit 2 of 8)</t>
        </is>
      </c>
      <c r="G5277" s="12" t="inlineStr">
        <is>
          <t>PGS-SWG</t>
        </is>
      </c>
      <c r="H5277" s="12" t="inlineStr">
        <is>
          <t>PGS-SWG: 480 V paralleling switchgear (8 generator breakers, 2 transfo</t>
        </is>
      </c>
      <c r="I5277" s="12" t="inlineStr">
        <is>
          <t>LV 600 V</t>
        </is>
      </c>
      <c r="J5277" s="12" t="inlineStr">
        <is>
          <t>XHHW-2 600 V 1/C Cu (feeder sets in tray / duct)</t>
        </is>
      </c>
      <c r="K5277" s="12" t="inlineStr">
        <is>
          <t>LV1C|1/C|500</t>
        </is>
      </c>
      <c r="L5277" s="12" t="inlineStr">
        <is>
          <t>1/C</t>
        </is>
      </c>
      <c r="M5277" s="12" t="inlineStr">
        <is>
          <t>500 kcmil</t>
        </is>
      </c>
      <c r="N5277" s="12" t="n">
        <v>4</v>
      </c>
      <c r="O5277" s="12" t="n">
        <v>4</v>
      </c>
      <c r="P5277" s="12" t="n">
        <v>480</v>
      </c>
      <c r="Q5277" s="12" t="n">
        <v>1000</v>
      </c>
      <c r="R5277" s="12" t="n">
        <v>1203</v>
      </c>
      <c r="S5277" s="12" t="inlineStr">
        <is>
          <t>Riser</t>
        </is>
      </c>
      <c r="T5277" s="15" t="n">
        <v>4</v>
      </c>
      <c r="U5277" s="15" t="n">
        <v>27</v>
      </c>
      <c r="V5277" s="15">
        <f>ROUNDUP((T5277+U5277+2*'Read Me'!$B$13)*(1+'Read Me'!$B$12),-1)</f>
        <v/>
      </c>
      <c r="W5277" s="15">
        <f>V5277*N5277*O5277</f>
        <v/>
      </c>
      <c r="X5277" s="12">
        <f>IF(LEFT(I5277,2)="MV",2*N5277*IF(L5277="1/C",O5277,1),0)</f>
        <v/>
      </c>
      <c r="Y5277" s="12">
        <f>IF(OR(LEFT(K5277,4)="LVAX",LEFT(K5277,6)="MV15AX",LEFT(K5277,4)="CTAX",LEFT(K5277,2)="W|"),2*N5277*O5277,0)</f>
        <v/>
      </c>
      <c r="Z5277" s="12" t="inlineStr">
        <is>
          <t>4 sets of 4 x 1/C</t>
        </is>
      </c>
      <c r="AA5277" s="12">
        <f>N5277*O5277</f>
        <v/>
      </c>
    </row>
    <row r="5278">
      <c r="A5278" s="12" t="inlineStr">
        <is>
          <t>I-P-0099</t>
        </is>
      </c>
      <c r="B5278" s="12" t="inlineStr">
        <is>
          <t>I</t>
        </is>
      </c>
      <c r="C5278" s="12" t="inlineStr">
        <is>
          <t>Modular / portable power</t>
        </is>
      </c>
      <c r="D5278" s="12" t="inlineStr">
        <is>
          <t>PGS-3 480 V generator leads to the paralleling switchgear</t>
        </is>
      </c>
      <c r="E5278" s="12" t="inlineStr">
        <is>
          <t>PGS-3</t>
        </is>
      </c>
      <c r="F5278" s="12" t="inlineStr">
        <is>
          <t>PGS-3: enclosed gas genset 1 MW, 480 V (paralleled, unit 3 of 8)</t>
        </is>
      </c>
      <c r="G5278" s="12" t="inlineStr">
        <is>
          <t>PGS-SWG</t>
        </is>
      </c>
      <c r="H5278" s="12" t="inlineStr">
        <is>
          <t>PGS-SWG: 480 V paralleling switchgear (8 generator breakers, 2 transfo</t>
        </is>
      </c>
      <c r="I5278" s="12" t="inlineStr">
        <is>
          <t>LV 600 V</t>
        </is>
      </c>
      <c r="J5278" s="12" t="inlineStr">
        <is>
          <t>XHHW-2 600 V 1/C Cu (feeder sets in tray / duct)</t>
        </is>
      </c>
      <c r="K5278" s="12" t="inlineStr">
        <is>
          <t>LV1C|1/C|500</t>
        </is>
      </c>
      <c r="L5278" s="12" t="inlineStr">
        <is>
          <t>1/C</t>
        </is>
      </c>
      <c r="M5278" s="12" t="inlineStr">
        <is>
          <t>500 kcmil</t>
        </is>
      </c>
      <c r="N5278" s="12" t="n">
        <v>4</v>
      </c>
      <c r="O5278" s="12" t="n">
        <v>4</v>
      </c>
      <c r="P5278" s="12" t="n">
        <v>480</v>
      </c>
      <c r="Q5278" s="12" t="n">
        <v>1000</v>
      </c>
      <c r="R5278" s="12" t="n">
        <v>1203</v>
      </c>
      <c r="S5278" s="12" t="inlineStr">
        <is>
          <t>Riser</t>
        </is>
      </c>
      <c r="T5278" s="15" t="n">
        <v>4</v>
      </c>
      <c r="U5278" s="15" t="n">
        <v>27</v>
      </c>
      <c r="V5278" s="15">
        <f>ROUNDUP((T5278+U5278+2*'Read Me'!$B$13)*(1+'Read Me'!$B$12),-1)</f>
        <v/>
      </c>
      <c r="W5278" s="15">
        <f>V5278*N5278*O5278</f>
        <v/>
      </c>
      <c r="X5278" s="12">
        <f>IF(LEFT(I5278,2)="MV",2*N5278*IF(L5278="1/C",O5278,1),0)</f>
        <v/>
      </c>
      <c r="Y5278" s="12">
        <f>IF(OR(LEFT(K5278,4)="LVAX",LEFT(K5278,6)="MV15AX",LEFT(K5278,4)="CTAX",LEFT(K5278,2)="W|"),2*N5278*O5278,0)</f>
        <v/>
      </c>
      <c r="Z5278" s="12" t="inlineStr">
        <is>
          <t>4 sets of 4 x 1/C</t>
        </is>
      </c>
      <c r="AA5278" s="12">
        <f>N5278*O5278</f>
        <v/>
      </c>
    </row>
    <row r="5279">
      <c r="A5279" s="12" t="inlineStr">
        <is>
          <t>I-P-0100</t>
        </is>
      </c>
      <c r="B5279" s="12" t="inlineStr">
        <is>
          <t>I</t>
        </is>
      </c>
      <c r="C5279" s="12" t="inlineStr">
        <is>
          <t>Modular / portable power</t>
        </is>
      </c>
      <c r="D5279" s="12" t="inlineStr">
        <is>
          <t>PGS-4 480 V generator leads to the paralleling switchgear</t>
        </is>
      </c>
      <c r="E5279" s="12" t="inlineStr">
        <is>
          <t>PGS-4</t>
        </is>
      </c>
      <c r="F5279" s="12" t="inlineStr">
        <is>
          <t>PGS-4: enclosed gas genset 1 MW, 480 V (paralleled, unit 4 of 8)</t>
        </is>
      </c>
      <c r="G5279" s="12" t="inlineStr">
        <is>
          <t>PGS-SWG</t>
        </is>
      </c>
      <c r="H5279" s="12" t="inlineStr">
        <is>
          <t>PGS-SWG: 480 V paralleling switchgear (8 generator breakers, 2 transfo</t>
        </is>
      </c>
      <c r="I5279" s="12" t="inlineStr">
        <is>
          <t>LV 600 V</t>
        </is>
      </c>
      <c r="J5279" s="12" t="inlineStr">
        <is>
          <t>XHHW-2 600 V 1/C Cu (feeder sets in tray / duct)</t>
        </is>
      </c>
      <c r="K5279" s="12" t="inlineStr">
        <is>
          <t>LV1C|1/C|500</t>
        </is>
      </c>
      <c r="L5279" s="12" t="inlineStr">
        <is>
          <t>1/C</t>
        </is>
      </c>
      <c r="M5279" s="12" t="inlineStr">
        <is>
          <t>500 kcmil</t>
        </is>
      </c>
      <c r="N5279" s="12" t="n">
        <v>4</v>
      </c>
      <c r="O5279" s="12" t="n">
        <v>4</v>
      </c>
      <c r="P5279" s="12" t="n">
        <v>480</v>
      </c>
      <c r="Q5279" s="12" t="n">
        <v>1000</v>
      </c>
      <c r="R5279" s="12" t="n">
        <v>1203</v>
      </c>
      <c r="S5279" s="12" t="inlineStr">
        <is>
          <t>Riser</t>
        </is>
      </c>
      <c r="T5279" s="15" t="n">
        <v>4</v>
      </c>
      <c r="U5279" s="15" t="n">
        <v>27</v>
      </c>
      <c r="V5279" s="15">
        <f>ROUNDUP((T5279+U5279+2*'Read Me'!$B$13)*(1+'Read Me'!$B$12),-1)</f>
        <v/>
      </c>
      <c r="W5279" s="15">
        <f>V5279*N5279*O5279</f>
        <v/>
      </c>
      <c r="X5279" s="12">
        <f>IF(LEFT(I5279,2)="MV",2*N5279*IF(L5279="1/C",O5279,1),0)</f>
        <v/>
      </c>
      <c r="Y5279" s="12">
        <f>IF(OR(LEFT(K5279,4)="LVAX",LEFT(K5279,6)="MV15AX",LEFT(K5279,4)="CTAX",LEFT(K5279,2)="W|"),2*N5279*O5279,0)</f>
        <v/>
      </c>
      <c r="Z5279" s="12" t="inlineStr">
        <is>
          <t>4 sets of 4 x 1/C</t>
        </is>
      </c>
      <c r="AA5279" s="12">
        <f>N5279*O5279</f>
        <v/>
      </c>
    </row>
    <row r="5280">
      <c r="A5280" s="12" t="inlineStr">
        <is>
          <t>I-P-0101</t>
        </is>
      </c>
      <c r="B5280" s="12" t="inlineStr">
        <is>
          <t>I</t>
        </is>
      </c>
      <c r="C5280" s="12" t="inlineStr">
        <is>
          <t>Modular / portable power</t>
        </is>
      </c>
      <c r="D5280" s="12" t="inlineStr">
        <is>
          <t>PGS-5 480 V generator leads to the paralleling switchgear</t>
        </is>
      </c>
      <c r="E5280" s="12" t="inlineStr">
        <is>
          <t>PGS-5</t>
        </is>
      </c>
      <c r="F5280" s="12" t="inlineStr">
        <is>
          <t>PGS-5: enclosed gas genset 1 MW, 480 V (paralleled, unit 5 of 8)</t>
        </is>
      </c>
      <c r="G5280" s="12" t="inlineStr">
        <is>
          <t>PGS-SWG</t>
        </is>
      </c>
      <c r="H5280" s="12" t="inlineStr">
        <is>
          <t>PGS-SWG: 480 V paralleling switchgear (8 generator breakers, 2 transfo</t>
        </is>
      </c>
      <c r="I5280" s="12" t="inlineStr">
        <is>
          <t>LV 600 V</t>
        </is>
      </c>
      <c r="J5280" s="12" t="inlineStr">
        <is>
          <t>XHHW-2 600 V 1/C Cu (feeder sets in tray / duct)</t>
        </is>
      </c>
      <c r="K5280" s="12" t="inlineStr">
        <is>
          <t>LV1C|1/C|500</t>
        </is>
      </c>
      <c r="L5280" s="12" t="inlineStr">
        <is>
          <t>1/C</t>
        </is>
      </c>
      <c r="M5280" s="12" t="inlineStr">
        <is>
          <t>500 kcmil</t>
        </is>
      </c>
      <c r="N5280" s="12" t="n">
        <v>4</v>
      </c>
      <c r="O5280" s="12" t="n">
        <v>4</v>
      </c>
      <c r="P5280" s="12" t="n">
        <v>480</v>
      </c>
      <c r="Q5280" s="12" t="n">
        <v>1000</v>
      </c>
      <c r="R5280" s="12" t="n">
        <v>1203</v>
      </c>
      <c r="S5280" s="12" t="inlineStr">
        <is>
          <t>Duct bank</t>
        </is>
      </c>
      <c r="T5280" s="15" t="n">
        <v>16</v>
      </c>
      <c r="U5280" s="15" t="n">
        <v>32</v>
      </c>
      <c r="V5280" s="15">
        <f>ROUNDUP((T5280+U5280+2*'Read Me'!$B$13)*(1+'Read Me'!$B$12),-1)</f>
        <v/>
      </c>
      <c r="W5280" s="15">
        <f>V5280*N5280*O5280</f>
        <v/>
      </c>
      <c r="X5280" s="12">
        <f>IF(LEFT(I5280,2)="MV",2*N5280*IF(L5280="1/C",O5280,1),0)</f>
        <v/>
      </c>
      <c r="Y5280" s="12">
        <f>IF(OR(LEFT(K5280,4)="LVAX",LEFT(K5280,6)="MV15AX",LEFT(K5280,4)="CTAX",LEFT(K5280,2)="W|"),2*N5280*O5280,0)</f>
        <v/>
      </c>
      <c r="Z5280" s="12" t="inlineStr">
        <is>
          <t>4 sets of 4 x 1/C</t>
        </is>
      </c>
      <c r="AA5280" s="12">
        <f>N5280*O5280</f>
        <v/>
      </c>
    </row>
    <row r="5281">
      <c r="A5281" s="12" t="inlineStr">
        <is>
          <t>I-P-0102</t>
        </is>
      </c>
      <c r="B5281" s="12" t="inlineStr">
        <is>
          <t>I</t>
        </is>
      </c>
      <c r="C5281" s="12" t="inlineStr">
        <is>
          <t>Modular / portable power</t>
        </is>
      </c>
      <c r="D5281" s="12" t="inlineStr">
        <is>
          <t>PGS-6 480 V generator leads to the paralleling switchgear</t>
        </is>
      </c>
      <c r="E5281" s="12" t="inlineStr">
        <is>
          <t>PGS-6</t>
        </is>
      </c>
      <c r="F5281" s="12" t="inlineStr">
        <is>
          <t>PGS-6: enclosed gas genset 1 MW, 480 V (paralleled, unit 6 of 8)</t>
        </is>
      </c>
      <c r="G5281" s="12" t="inlineStr">
        <is>
          <t>PGS-SWG</t>
        </is>
      </c>
      <c r="H5281" s="12" t="inlineStr">
        <is>
          <t>PGS-SWG: 480 V paralleling switchgear (8 generator breakers, 2 transfo</t>
        </is>
      </c>
      <c r="I5281" s="12" t="inlineStr">
        <is>
          <t>LV 600 V</t>
        </is>
      </c>
      <c r="J5281" s="12" t="inlineStr">
        <is>
          <t>XHHW-2 600 V 1/C Cu (feeder sets in tray / duct)</t>
        </is>
      </c>
      <c r="K5281" s="12" t="inlineStr">
        <is>
          <t>LV1C|1/C|500</t>
        </is>
      </c>
      <c r="L5281" s="12" t="inlineStr">
        <is>
          <t>1/C</t>
        </is>
      </c>
      <c r="M5281" s="12" t="inlineStr">
        <is>
          <t>500 kcmil</t>
        </is>
      </c>
      <c r="N5281" s="12" t="n">
        <v>4</v>
      </c>
      <c r="O5281" s="12" t="n">
        <v>4</v>
      </c>
      <c r="P5281" s="12" t="n">
        <v>480</v>
      </c>
      <c r="Q5281" s="12" t="n">
        <v>1000</v>
      </c>
      <c r="R5281" s="12" t="n">
        <v>1203</v>
      </c>
      <c r="S5281" s="12" t="inlineStr">
        <is>
          <t>Duct bank</t>
        </is>
      </c>
      <c r="T5281" s="15" t="n">
        <v>28</v>
      </c>
      <c r="U5281" s="15" t="n">
        <v>32</v>
      </c>
      <c r="V5281" s="15">
        <f>ROUNDUP((T5281+U5281+2*'Read Me'!$B$13)*(1+'Read Me'!$B$12),-1)</f>
        <v/>
      </c>
      <c r="W5281" s="15">
        <f>V5281*N5281*O5281</f>
        <v/>
      </c>
      <c r="X5281" s="12">
        <f>IF(LEFT(I5281,2)="MV",2*N5281*IF(L5281="1/C",O5281,1),0)</f>
        <v/>
      </c>
      <c r="Y5281" s="12">
        <f>IF(OR(LEFT(K5281,4)="LVAX",LEFT(K5281,6)="MV15AX",LEFT(K5281,4)="CTAX",LEFT(K5281,2)="W|"),2*N5281*O5281,0)</f>
        <v/>
      </c>
      <c r="Z5281" s="12" t="inlineStr">
        <is>
          <t>4 sets of 4 x 1/C</t>
        </is>
      </c>
      <c r="AA5281" s="12">
        <f>N5281*O5281</f>
        <v/>
      </c>
    </row>
    <row r="5282">
      <c r="A5282" s="12" t="inlineStr">
        <is>
          <t>I-P-0103</t>
        </is>
      </c>
      <c r="B5282" s="12" t="inlineStr">
        <is>
          <t>I</t>
        </is>
      </c>
      <c r="C5282" s="12" t="inlineStr">
        <is>
          <t>Modular / portable power</t>
        </is>
      </c>
      <c r="D5282" s="12" t="inlineStr">
        <is>
          <t>PGS-7 480 V generator leads to the paralleling switchgear</t>
        </is>
      </c>
      <c r="E5282" s="12" t="inlineStr">
        <is>
          <t>PGS-7</t>
        </is>
      </c>
      <c r="F5282" s="12" t="inlineStr">
        <is>
          <t>PGS-7: enclosed gas genset 1 MW, 480 V (paralleled, unit 7 of 8)</t>
        </is>
      </c>
      <c r="G5282" s="12" t="inlineStr">
        <is>
          <t>PGS-SWG</t>
        </is>
      </c>
      <c r="H5282" s="12" t="inlineStr">
        <is>
          <t>PGS-SWG: 480 V paralleling switchgear (8 generator breakers, 2 transfo</t>
        </is>
      </c>
      <c r="I5282" s="12" t="inlineStr">
        <is>
          <t>LV 600 V</t>
        </is>
      </c>
      <c r="J5282" s="12" t="inlineStr">
        <is>
          <t>XHHW-2 600 V 1/C Cu (feeder sets in tray / duct)</t>
        </is>
      </c>
      <c r="K5282" s="12" t="inlineStr">
        <is>
          <t>LV1C|1/C|500</t>
        </is>
      </c>
      <c r="L5282" s="12" t="inlineStr">
        <is>
          <t>1/C</t>
        </is>
      </c>
      <c r="M5282" s="12" t="inlineStr">
        <is>
          <t>500 kcmil</t>
        </is>
      </c>
      <c r="N5282" s="12" t="n">
        <v>4</v>
      </c>
      <c r="O5282" s="12" t="n">
        <v>4</v>
      </c>
      <c r="P5282" s="12" t="n">
        <v>480</v>
      </c>
      <c r="Q5282" s="12" t="n">
        <v>1000</v>
      </c>
      <c r="R5282" s="12" t="n">
        <v>1203</v>
      </c>
      <c r="S5282" s="12" t="inlineStr">
        <is>
          <t>Duct bank</t>
        </is>
      </c>
      <c r="T5282" s="15" t="n">
        <v>40</v>
      </c>
      <c r="U5282" s="15" t="n">
        <v>32</v>
      </c>
      <c r="V5282" s="15">
        <f>ROUNDUP((T5282+U5282+2*'Read Me'!$B$13)*(1+'Read Me'!$B$12),-1)</f>
        <v/>
      </c>
      <c r="W5282" s="15">
        <f>V5282*N5282*O5282</f>
        <v/>
      </c>
      <c r="X5282" s="12">
        <f>IF(LEFT(I5282,2)="MV",2*N5282*IF(L5282="1/C",O5282,1),0)</f>
        <v/>
      </c>
      <c r="Y5282" s="12">
        <f>IF(OR(LEFT(K5282,4)="LVAX",LEFT(K5282,6)="MV15AX",LEFT(K5282,4)="CTAX",LEFT(K5282,2)="W|"),2*N5282*O5282,0)</f>
        <v/>
      </c>
      <c r="Z5282" s="12" t="inlineStr">
        <is>
          <t>4 sets of 4 x 1/C</t>
        </is>
      </c>
      <c r="AA5282" s="12">
        <f>N5282*O5282</f>
        <v/>
      </c>
    </row>
    <row r="5283">
      <c r="A5283" s="12" t="inlineStr">
        <is>
          <t>I-P-0104</t>
        </is>
      </c>
      <c r="B5283" s="12" t="inlineStr">
        <is>
          <t>I</t>
        </is>
      </c>
      <c r="C5283" s="12" t="inlineStr">
        <is>
          <t>Modular / portable power</t>
        </is>
      </c>
      <c r="D5283" s="12" t="inlineStr">
        <is>
          <t>PGS-8 480 V generator leads to the paralleling switchgear</t>
        </is>
      </c>
      <c r="E5283" s="12" t="inlineStr">
        <is>
          <t>PGS-8</t>
        </is>
      </c>
      <c r="F5283" s="12" t="inlineStr">
        <is>
          <t>PGS-8: enclosed gas genset 1 MW, 480 V (paralleled, unit 8 of 8)</t>
        </is>
      </c>
      <c r="G5283" s="12" t="inlineStr">
        <is>
          <t>PGS-SWG</t>
        </is>
      </c>
      <c r="H5283" s="12" t="inlineStr">
        <is>
          <t>PGS-SWG: 480 V paralleling switchgear (8 generator breakers, 2 transfo</t>
        </is>
      </c>
      <c r="I5283" s="12" t="inlineStr">
        <is>
          <t>LV 600 V</t>
        </is>
      </c>
      <c r="J5283" s="12" t="inlineStr">
        <is>
          <t>XHHW-2 600 V 1/C Cu (feeder sets in tray / duct)</t>
        </is>
      </c>
      <c r="K5283" s="12" t="inlineStr">
        <is>
          <t>LV1C|1/C|500</t>
        </is>
      </c>
      <c r="L5283" s="12" t="inlineStr">
        <is>
          <t>1/C</t>
        </is>
      </c>
      <c r="M5283" s="12" t="inlineStr">
        <is>
          <t>500 kcmil</t>
        </is>
      </c>
      <c r="N5283" s="12" t="n">
        <v>4</v>
      </c>
      <c r="O5283" s="12" t="n">
        <v>4</v>
      </c>
      <c r="P5283" s="12" t="n">
        <v>480</v>
      </c>
      <c r="Q5283" s="12" t="n">
        <v>1000</v>
      </c>
      <c r="R5283" s="12" t="n">
        <v>1203</v>
      </c>
      <c r="S5283" s="12" t="inlineStr">
        <is>
          <t>Duct bank</t>
        </is>
      </c>
      <c r="T5283" s="15" t="n">
        <v>52</v>
      </c>
      <c r="U5283" s="15" t="n">
        <v>32</v>
      </c>
      <c r="V5283" s="15">
        <f>ROUNDUP((T5283+U5283+2*'Read Me'!$B$13)*(1+'Read Me'!$B$12),-1)</f>
        <v/>
      </c>
      <c r="W5283" s="15">
        <f>V5283*N5283*O5283</f>
        <v/>
      </c>
      <c r="X5283" s="12">
        <f>IF(LEFT(I5283,2)="MV",2*N5283*IF(L5283="1/C",O5283,1),0)</f>
        <v/>
      </c>
      <c r="Y5283" s="12">
        <f>IF(OR(LEFT(K5283,4)="LVAX",LEFT(K5283,6)="MV15AX",LEFT(K5283,4)="CTAX",LEFT(K5283,2)="W|"),2*N5283*O5283,0)</f>
        <v/>
      </c>
      <c r="Z5283" s="12" t="inlineStr">
        <is>
          <t>4 sets of 4 x 1/C</t>
        </is>
      </c>
      <c r="AA5283" s="12">
        <f>N5283*O5283</f>
        <v/>
      </c>
    </row>
    <row r="5284">
      <c r="A5284" s="12" t="inlineStr">
        <is>
          <t>I-P-0105</t>
        </is>
      </c>
      <c r="B5284" s="12" t="inlineStr">
        <is>
          <t>I</t>
        </is>
      </c>
      <c r="C5284" s="12" t="inlineStr">
        <is>
          <t>Modular / portable power</t>
        </is>
      </c>
      <c r="D5284" s="12" t="inlineStr">
        <is>
          <t>PGS-SWG main 1 to PGS-TX1 480 V secondary</t>
        </is>
      </c>
      <c r="E5284" s="12" t="inlineStr">
        <is>
          <t>PGS-SWG</t>
        </is>
      </c>
      <c r="F5284" s="12" t="inlineStr">
        <is>
          <t>PGS-SWG: 480 V paralleling switchgear (8 generator breakers, 2 transfo</t>
        </is>
      </c>
      <c r="G5284" s="12" t="inlineStr">
        <is>
          <t>PGS-TX1</t>
        </is>
      </c>
      <c r="H5284" s="12" t="inlineStr">
        <is>
          <t>PGS-TX1: 480 V : 34.5 kV, ~5 MVA loop-feed pad-mount (gensets 1-4)</t>
        </is>
      </c>
      <c r="I5284" s="12" t="inlineStr">
        <is>
          <t>LV 600 V</t>
        </is>
      </c>
      <c r="J5284" s="12" t="inlineStr">
        <is>
          <t>XHHW-2 600 V 1/C Cu (feeder sets in tray / duct)</t>
        </is>
      </c>
      <c r="K5284" s="12" t="inlineStr">
        <is>
          <t>LV1C|1/C|600</t>
        </is>
      </c>
      <c r="L5284" s="12" t="inlineStr">
        <is>
          <t>1/C</t>
        </is>
      </c>
      <c r="M5284" s="12" t="inlineStr">
        <is>
          <t>600 kcmil</t>
        </is>
      </c>
      <c r="N5284" s="12" t="n">
        <v>12</v>
      </c>
      <c r="O5284" s="12" t="n">
        <v>4</v>
      </c>
      <c r="P5284" s="12" t="n">
        <v>480</v>
      </c>
      <c r="Q5284" s="12" t="n">
        <v>4000</v>
      </c>
      <c r="R5284" s="12" t="n">
        <v>4811</v>
      </c>
      <c r="S5284" s="12" t="inlineStr">
        <is>
          <t>Surface</t>
        </is>
      </c>
      <c r="T5284" s="15" t="n">
        <v>75</v>
      </c>
      <c r="U5284" s="15" t="n">
        <v>32</v>
      </c>
      <c r="V5284" s="15">
        <f>ROUNDUP((T5284+U5284+2*'Read Me'!$B$13)*(1+'Read Me'!$B$12),-1)</f>
        <v/>
      </c>
      <c r="W5284" s="15">
        <f>V5284*N5284*O5284</f>
        <v/>
      </c>
      <c r="X5284" s="12">
        <f>IF(LEFT(I5284,2)="MV",2*N5284*IF(L5284="1/C",O5284,1),0)</f>
        <v/>
      </c>
      <c r="Y5284" s="12">
        <f>IF(OR(LEFT(K5284,4)="LVAX",LEFT(K5284,6)="MV15AX",LEFT(K5284,4)="CTAX",LEFT(K5284,2)="W|"),2*N5284*O5284,0)</f>
        <v/>
      </c>
      <c r="Z5284" s="12" t="inlineStr">
        <is>
          <t>12 sets of 4 x 1/C</t>
        </is>
      </c>
      <c r="AA5284" s="12">
        <f>N5284*O5284</f>
        <v/>
      </c>
    </row>
    <row r="5285">
      <c r="A5285" s="12" t="inlineStr">
        <is>
          <t>I-P-0106</t>
        </is>
      </c>
      <c r="B5285" s="12" t="inlineStr">
        <is>
          <t>I</t>
        </is>
      </c>
      <c r="C5285" s="12" t="inlineStr">
        <is>
          <t>Modular / portable power</t>
        </is>
      </c>
      <c r="D5285" s="12" t="inlineStr">
        <is>
          <t>PGS-SWG main 2 to PGS-TX2 480 V secondary</t>
        </is>
      </c>
      <c r="E5285" s="12" t="inlineStr">
        <is>
          <t>PGS-SWG</t>
        </is>
      </c>
      <c r="F5285" s="12" t="inlineStr">
        <is>
          <t>PGS-SWG: 480 V paralleling switchgear (8 generator breakers, 2 transfo</t>
        </is>
      </c>
      <c r="G5285" s="12" t="inlineStr">
        <is>
          <t>PGS-TX2</t>
        </is>
      </c>
      <c r="H5285" s="12" t="inlineStr">
        <is>
          <t>PGS-TX2: 480 V : 34.5 kV, ~5 MVA loop-feed pad-mount (gensets 5-8)</t>
        </is>
      </c>
      <c r="I5285" s="12" t="inlineStr">
        <is>
          <t>LV 600 V</t>
        </is>
      </c>
      <c r="J5285" s="12" t="inlineStr">
        <is>
          <t>XHHW-2 600 V 1/C Cu (feeder sets in tray / duct)</t>
        </is>
      </c>
      <c r="K5285" s="12" t="inlineStr">
        <is>
          <t>LV1C|1/C|600</t>
        </is>
      </c>
      <c r="L5285" s="12" t="inlineStr">
        <is>
          <t>1/C</t>
        </is>
      </c>
      <c r="M5285" s="12" t="inlineStr">
        <is>
          <t>600 kcmil</t>
        </is>
      </c>
      <c r="N5285" s="12" t="n">
        <v>12</v>
      </c>
      <c r="O5285" s="12" t="n">
        <v>4</v>
      </c>
      <c r="P5285" s="12" t="n">
        <v>480</v>
      </c>
      <c r="Q5285" s="12" t="n">
        <v>4000</v>
      </c>
      <c r="R5285" s="12" t="n">
        <v>4811</v>
      </c>
      <c r="S5285" s="12" t="inlineStr">
        <is>
          <t>Surface</t>
        </is>
      </c>
      <c r="T5285" s="15" t="n">
        <v>46</v>
      </c>
      <c r="U5285" s="15" t="n">
        <v>32</v>
      </c>
      <c r="V5285" s="15">
        <f>ROUNDUP((T5285+U5285+2*'Read Me'!$B$13)*(1+'Read Me'!$B$12),-1)</f>
        <v/>
      </c>
      <c r="W5285" s="15">
        <f>V5285*N5285*O5285</f>
        <v/>
      </c>
      <c r="X5285" s="12">
        <f>IF(LEFT(I5285,2)="MV",2*N5285*IF(L5285="1/C",O5285,1),0)</f>
        <v/>
      </c>
      <c r="Y5285" s="12">
        <f>IF(OR(LEFT(K5285,4)="LVAX",LEFT(K5285,6)="MV15AX",LEFT(K5285,4)="CTAX",LEFT(K5285,2)="W|"),2*N5285*O5285,0)</f>
        <v/>
      </c>
      <c r="Z5285" s="12" t="inlineStr">
        <is>
          <t>12 sets of 4 x 1/C</t>
        </is>
      </c>
      <c r="AA5285" s="12">
        <f>N5285*O5285</f>
        <v/>
      </c>
    </row>
    <row r="5286">
      <c r="A5286" s="12" t="inlineStr">
        <is>
          <t>I-P-0107</t>
        </is>
      </c>
      <c r="B5286" s="12" t="inlineStr">
        <is>
          <t>I</t>
        </is>
      </c>
      <c r="C5286" s="12" t="inlineStr">
        <is>
          <t>Modular / portable power</t>
        </is>
      </c>
      <c r="D5286" s="12" t="inlineStr">
        <is>
          <t>Motor 1 of 1, 15 kW</t>
        </is>
      </c>
      <c r="E5286" s="12" t="inlineStr"/>
      <c r="F5286" s="12" t="inlineStr">
        <is>
          <t>PCM: power control module</t>
        </is>
      </c>
      <c r="G5286" s="12" t="inlineStr"/>
      <c r="H5286" s="12" t="inlineStr">
        <is>
          <t>RICE 1 SCR + oxidation catalyst and stack</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15</v>
      </c>
      <c r="R5286" s="12" t="n">
        <v>21.2</v>
      </c>
      <c r="S5286" s="12" t="inlineStr">
        <is>
          <t>Duct bank</t>
        </is>
      </c>
      <c r="T5286" s="15" t="n">
        <v>436</v>
      </c>
      <c r="U5286" s="15" t="n">
        <v>160</v>
      </c>
      <c r="V5286" s="15">
        <f>ROUNDUP((T5286+U5286+2*'Read Me'!$B$13)*(1+'Read Me'!$B$12),-1)</f>
        <v/>
      </c>
      <c r="W5286" s="15">
        <f>V5286*N5286*O5286</f>
        <v/>
      </c>
      <c r="X5286" s="12">
        <f>IF(LEFT(I5286,2)="MV",2*N5286*IF(L5286="1/C",O5286,1),0)</f>
        <v/>
      </c>
      <c r="Y5286" s="12">
        <f>IF(OR(LEFT(K5286,4)="LVAX",LEFT(K5286,6)="MV15AX",LEFT(K5286,4)="CTAX",LEFT(K5286,2)="W|"),2*N5286*O5286,0)</f>
        <v/>
      </c>
      <c r="Z5286" s="12" t="inlineStr">
        <is>
          <t>VD 2.5 %</t>
        </is>
      </c>
      <c r="AA5286" s="12">
        <f>N5286*O5286</f>
        <v/>
      </c>
    </row>
    <row r="5287">
      <c r="A5287" s="12" t="inlineStr">
        <is>
          <t>I-P-0108</t>
        </is>
      </c>
      <c r="B5287" s="12" t="inlineStr">
        <is>
          <t>I</t>
        </is>
      </c>
      <c r="C5287" s="12" t="inlineStr">
        <is>
          <t>Modular / portable power</t>
        </is>
      </c>
      <c r="D5287" s="12" t="inlineStr">
        <is>
          <t>Area / platform lighting circuit 1 (6 fixtures)</t>
        </is>
      </c>
      <c r="E5287" s="12" t="inlineStr"/>
      <c r="F5287" s="12" t="inlineStr">
        <is>
          <t>PCM: power control module</t>
        </is>
      </c>
      <c r="G5287" s="12" t="inlineStr"/>
      <c r="H5287" s="12" t="inlineStr">
        <is>
          <t>RICE 1 SCR + oxidation catalyst and stack</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3</v>
      </c>
      <c r="R5287" s="12" t="n">
        <v>5</v>
      </c>
      <c r="S5287" s="12" t="inlineStr">
        <is>
          <t>Duct bank</t>
        </is>
      </c>
      <c r="T5287" s="15" t="n">
        <v>736</v>
      </c>
      <c r="U5287" s="15" t="n">
        <v>160</v>
      </c>
      <c r="V5287" s="15">
        <f>ROUNDUP((T5287+U5287+2*'Read Me'!$B$13)*(1+'Read Me'!$B$12),-1)</f>
        <v/>
      </c>
      <c r="W5287" s="15">
        <f>V5287*N5287*O5287</f>
        <v/>
      </c>
      <c r="X5287" s="12">
        <f>IF(LEFT(I5287,2)="MV",2*N5287*IF(L5287="1/C",O5287,1),0)</f>
        <v/>
      </c>
      <c r="Y5287" s="12">
        <f>IF(OR(LEFT(K5287,4)="LVAX",LEFT(K5287,6)="MV15AX",LEFT(K5287,4)="CTAX",LEFT(K5287,2)="W|"),2*N5287*O5287,0)</f>
        <v/>
      </c>
      <c r="Z5287" s="12" t="inlineStr">
        <is>
          <t>fixture-to-fixture run included</t>
        </is>
      </c>
      <c r="AA5287" s="12">
        <f>N5287*O5287</f>
        <v/>
      </c>
    </row>
    <row r="5288">
      <c r="A5288" s="12" t="inlineStr">
        <is>
          <t>I-P-0109</t>
        </is>
      </c>
      <c r="B5288" s="12" t="inlineStr">
        <is>
          <t>I</t>
        </is>
      </c>
      <c r="C5288" s="12" t="inlineStr">
        <is>
          <t>Modular / portable power</t>
        </is>
      </c>
      <c r="D5288" s="12" t="inlineStr">
        <is>
          <t>Motor 1 of 5, 30 kW (VFD output)</t>
        </is>
      </c>
      <c r="E5288" s="12" t="inlineStr"/>
      <c r="F5288" s="12" t="inlineStr">
        <is>
          <t>PCM: power control module</t>
        </is>
      </c>
      <c r="G5288" s="12" t="inlineStr"/>
      <c r="H5288" s="12" t="inlineStr">
        <is>
          <t>RICE 1 radiators (5)</t>
        </is>
      </c>
      <c r="I5288" s="12" t="inlineStr">
        <is>
          <t>LV 600 V</t>
        </is>
      </c>
      <c r="J5288" s="12" t="inlineStr">
        <is>
          <t>VFD cable 600 V 3/C Cu XHHW-2, 3 symmetrical grounds, overall Cu tape shield, TC-ER</t>
        </is>
      </c>
      <c r="K5288" s="12" t="inlineStr">
        <is>
          <t>VFD|3/C+3G|1</t>
        </is>
      </c>
      <c r="L5288" s="12" t="inlineStr">
        <is>
          <t>3/C+3G</t>
        </is>
      </c>
      <c r="M5288" s="12" t="inlineStr">
        <is>
          <t>1</t>
        </is>
      </c>
      <c r="N5288" s="12" t="n">
        <v>1</v>
      </c>
      <c r="O5288" s="12" t="n">
        <v>1</v>
      </c>
      <c r="P5288" s="12" t="n">
        <v>480</v>
      </c>
      <c r="Q5288" s="12" t="n">
        <v>30</v>
      </c>
      <c r="R5288" s="12" t="n">
        <v>42</v>
      </c>
      <c r="S5288" s="12" t="inlineStr">
        <is>
          <t>Duct bank</t>
        </is>
      </c>
      <c r="T5288" s="15" t="n">
        <v>791</v>
      </c>
      <c r="U5288" s="15" t="n">
        <v>139</v>
      </c>
      <c r="V5288" s="15">
        <f>ROUNDUP((T5288+U5288+2*'Read Me'!$B$13)*(1+'Read Me'!$B$12),-1)</f>
        <v/>
      </c>
      <c r="W5288" s="15">
        <f>V5288*N5288*O5288</f>
        <v/>
      </c>
      <c r="X5288" s="12">
        <f>IF(LEFT(I5288,2)="MV",2*N5288*IF(L5288="1/C",O5288,1),0)</f>
        <v/>
      </c>
      <c r="Y5288" s="12">
        <f>IF(OR(LEFT(K5288,4)="LVAX",LEFT(K5288,6)="MV15AX",LEFT(K5288,4)="CTAX",LEFT(K5288,2)="W|"),2*N5288*O5288,0)</f>
        <v/>
      </c>
      <c r="Z5288" s="12" t="inlineStr">
        <is>
          <t>VD 2.4 %</t>
        </is>
      </c>
      <c r="AA5288" s="12">
        <f>N5288*O5288</f>
        <v/>
      </c>
    </row>
    <row r="5289">
      <c r="A5289" s="12" t="inlineStr">
        <is>
          <t>I-P-0110</t>
        </is>
      </c>
      <c r="B5289" s="12" t="inlineStr">
        <is>
          <t>I</t>
        </is>
      </c>
      <c r="C5289" s="12" t="inlineStr">
        <is>
          <t>Modular / portable power</t>
        </is>
      </c>
      <c r="D5289" s="12" t="inlineStr">
        <is>
          <t>Motor 2 of 5, 30 kW (VFD output)</t>
        </is>
      </c>
      <c r="E5289" s="12" t="inlineStr"/>
      <c r="F5289" s="12" t="inlineStr">
        <is>
          <t>PCM: power control module</t>
        </is>
      </c>
      <c r="G5289" s="12" t="inlineStr"/>
      <c r="H5289" s="12" t="inlineStr">
        <is>
          <t>RICE 1 radiators (5)</t>
        </is>
      </c>
      <c r="I5289" s="12" t="inlineStr">
        <is>
          <t>LV 600 V</t>
        </is>
      </c>
      <c r="J5289" s="12" t="inlineStr">
        <is>
          <t>VFD cable 600 V 3/C Cu XHHW-2, 3 symmetrical grounds, overall Cu tape shield, TC-ER</t>
        </is>
      </c>
      <c r="K5289" s="12" t="inlineStr">
        <is>
          <t>VFD|3/C+3G|1</t>
        </is>
      </c>
      <c r="L5289" s="12" t="inlineStr">
        <is>
          <t>3/C+3G</t>
        </is>
      </c>
      <c r="M5289" s="12" t="inlineStr">
        <is>
          <t>1</t>
        </is>
      </c>
      <c r="N5289" s="12" t="n">
        <v>1</v>
      </c>
      <c r="O5289" s="12" t="n">
        <v>1</v>
      </c>
      <c r="P5289" s="12" t="n">
        <v>480</v>
      </c>
      <c r="Q5289" s="12" t="n">
        <v>30</v>
      </c>
      <c r="R5289" s="12" t="n">
        <v>42</v>
      </c>
      <c r="S5289" s="12" t="inlineStr">
        <is>
          <t>Duct bank</t>
        </is>
      </c>
      <c r="T5289" s="15" t="n">
        <v>791</v>
      </c>
      <c r="U5289" s="15" t="n">
        <v>139</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I-P-0111</t>
        </is>
      </c>
      <c r="B5290" s="12" t="inlineStr">
        <is>
          <t>I</t>
        </is>
      </c>
      <c r="C5290" s="12" t="inlineStr">
        <is>
          <t>Modular / portable power</t>
        </is>
      </c>
      <c r="D5290" s="12" t="inlineStr">
        <is>
          <t>Motor 3 of 5, 30 kW (VFD output)</t>
        </is>
      </c>
      <c r="E5290" s="12" t="inlineStr"/>
      <c r="F5290" s="12" t="inlineStr">
        <is>
          <t>PCM: power control module</t>
        </is>
      </c>
      <c r="G5290" s="12" t="inlineStr"/>
      <c r="H5290" s="12" t="inlineStr">
        <is>
          <t>RICE 1 radiators (5)</t>
        </is>
      </c>
      <c r="I5290" s="12" t="inlineStr">
        <is>
          <t>LV 600 V</t>
        </is>
      </c>
      <c r="J5290" s="12" t="inlineStr">
        <is>
          <t>VFD cable 600 V 3/C Cu XHHW-2, 3 symmetrical grounds, overall Cu tape shield, TC-ER</t>
        </is>
      </c>
      <c r="K5290" s="12" t="inlineStr">
        <is>
          <t>VFD|3/C+3G|1</t>
        </is>
      </c>
      <c r="L5290" s="12" t="inlineStr">
        <is>
          <t>3/C+3G</t>
        </is>
      </c>
      <c r="M5290" s="12" t="inlineStr">
        <is>
          <t>1</t>
        </is>
      </c>
      <c r="N5290" s="12" t="n">
        <v>1</v>
      </c>
      <c r="O5290" s="12" t="n">
        <v>1</v>
      </c>
      <c r="P5290" s="12" t="n">
        <v>480</v>
      </c>
      <c r="Q5290" s="12" t="n">
        <v>30</v>
      </c>
      <c r="R5290" s="12" t="n">
        <v>42</v>
      </c>
      <c r="S5290" s="12" t="inlineStr">
        <is>
          <t>Duct bank</t>
        </is>
      </c>
      <c r="T5290" s="15" t="n">
        <v>791</v>
      </c>
      <c r="U5290" s="15" t="n">
        <v>139</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I-P-0112</t>
        </is>
      </c>
      <c r="B5291" s="12" t="inlineStr">
        <is>
          <t>I</t>
        </is>
      </c>
      <c r="C5291" s="12" t="inlineStr">
        <is>
          <t>Modular / portable power</t>
        </is>
      </c>
      <c r="D5291" s="12" t="inlineStr">
        <is>
          <t>Motor 4 of 5, 30 kW (VFD output)</t>
        </is>
      </c>
      <c r="E5291" s="12" t="inlineStr"/>
      <c r="F5291" s="12" t="inlineStr">
        <is>
          <t>PCM: power control module</t>
        </is>
      </c>
      <c r="G5291" s="12" t="inlineStr"/>
      <c r="H5291" s="12" t="inlineStr">
        <is>
          <t>RICE 1 radiators (5)</t>
        </is>
      </c>
      <c r="I5291" s="12" t="inlineStr">
        <is>
          <t>LV 600 V</t>
        </is>
      </c>
      <c r="J5291" s="12" t="inlineStr">
        <is>
          <t>VFD cable 600 V 3/C Cu XHHW-2, 3 symmetrical grounds, overall Cu tape shield, TC-ER</t>
        </is>
      </c>
      <c r="K5291" s="12" t="inlineStr">
        <is>
          <t>VFD|3/C+3G|1</t>
        </is>
      </c>
      <c r="L5291" s="12" t="inlineStr">
        <is>
          <t>3/C+3G</t>
        </is>
      </c>
      <c r="M5291" s="12" t="inlineStr">
        <is>
          <t>1</t>
        </is>
      </c>
      <c r="N5291" s="12" t="n">
        <v>1</v>
      </c>
      <c r="O5291" s="12" t="n">
        <v>1</v>
      </c>
      <c r="P5291" s="12" t="n">
        <v>480</v>
      </c>
      <c r="Q5291" s="12" t="n">
        <v>30</v>
      </c>
      <c r="R5291" s="12" t="n">
        <v>42</v>
      </c>
      <c r="S5291" s="12" t="inlineStr">
        <is>
          <t>Duct bank</t>
        </is>
      </c>
      <c r="T5291" s="15" t="n">
        <v>791</v>
      </c>
      <c r="U5291" s="15" t="n">
        <v>139</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I-P-0113</t>
        </is>
      </c>
      <c r="B5292" s="12" t="inlineStr">
        <is>
          <t>I</t>
        </is>
      </c>
      <c r="C5292" s="12" t="inlineStr">
        <is>
          <t>Modular / portable power</t>
        </is>
      </c>
      <c r="D5292" s="12" t="inlineStr">
        <is>
          <t>Motor 5 of 5, 30 kW (VFD output)</t>
        </is>
      </c>
      <c r="E5292" s="12" t="inlineStr"/>
      <c r="F5292" s="12" t="inlineStr">
        <is>
          <t>PCM: power control module</t>
        </is>
      </c>
      <c r="G5292" s="12" t="inlineStr"/>
      <c r="H5292" s="12" t="inlineStr">
        <is>
          <t>RICE 1 radiators (5)</t>
        </is>
      </c>
      <c r="I5292" s="12" t="inlineStr">
        <is>
          <t>LV 600 V</t>
        </is>
      </c>
      <c r="J5292" s="12" t="inlineStr">
        <is>
          <t>VFD cable 600 V 3/C Cu XHHW-2, 3 symmetrical grounds, overall Cu tape shield, TC-ER</t>
        </is>
      </c>
      <c r="K5292" s="12" t="inlineStr">
        <is>
          <t>VFD|3/C+3G|1</t>
        </is>
      </c>
      <c r="L5292" s="12" t="inlineStr">
        <is>
          <t>3/C+3G</t>
        </is>
      </c>
      <c r="M5292" s="12" t="inlineStr">
        <is>
          <t>1</t>
        </is>
      </c>
      <c r="N5292" s="12" t="n">
        <v>1</v>
      </c>
      <c r="O5292" s="12" t="n">
        <v>1</v>
      </c>
      <c r="P5292" s="12" t="n">
        <v>480</v>
      </c>
      <c r="Q5292" s="12" t="n">
        <v>30</v>
      </c>
      <c r="R5292" s="12" t="n">
        <v>42</v>
      </c>
      <c r="S5292" s="12" t="inlineStr">
        <is>
          <t>Duct bank</t>
        </is>
      </c>
      <c r="T5292" s="15" t="n">
        <v>791</v>
      </c>
      <c r="U5292" s="15" t="n">
        <v>139</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I-P-0114</t>
        </is>
      </c>
      <c r="B5293" s="12" t="inlineStr">
        <is>
          <t>I</t>
        </is>
      </c>
      <c r="C5293" s="12" t="inlineStr">
        <is>
          <t>Modular / portable power</t>
        </is>
      </c>
      <c r="D5293" s="12" t="inlineStr">
        <is>
          <t>Motor 1 of 1, 15 kW</t>
        </is>
      </c>
      <c r="E5293" s="12" t="inlineStr"/>
      <c r="F5293" s="12" t="inlineStr">
        <is>
          <t>PCM: power control module</t>
        </is>
      </c>
      <c r="G5293" s="12" t="inlineStr"/>
      <c r="H5293" s="12" t="inlineStr">
        <is>
          <t>RICE 2 SCR + oxidation catalyst and stack</t>
        </is>
      </c>
      <c r="I5293" s="12" t="inlineStr">
        <is>
          <t>LV 600 V</t>
        </is>
      </c>
      <c r="J5293" s="12" t="inlineStr">
        <is>
          <t>Type TC-ER 600 V 3/C Cu XHHW-2 + ground, PVC jacket</t>
        </is>
      </c>
      <c r="K5293" s="12" t="inlineStr">
        <is>
          <t>LV|3/C+G|6</t>
        </is>
      </c>
      <c r="L5293" s="12" t="inlineStr">
        <is>
          <t>3/C+G</t>
        </is>
      </c>
      <c r="M5293" s="12" t="inlineStr">
        <is>
          <t>6</t>
        </is>
      </c>
      <c r="N5293" s="12" t="n">
        <v>1</v>
      </c>
      <c r="O5293" s="12" t="n">
        <v>1</v>
      </c>
      <c r="P5293" s="12" t="n">
        <v>480</v>
      </c>
      <c r="Q5293" s="12" t="n">
        <v>15</v>
      </c>
      <c r="R5293" s="12" t="n">
        <v>21.2</v>
      </c>
      <c r="S5293" s="12" t="inlineStr">
        <is>
          <t>Duct bank</t>
        </is>
      </c>
      <c r="T5293" s="15" t="n">
        <v>436</v>
      </c>
      <c r="U5293" s="15" t="n">
        <v>132</v>
      </c>
      <c r="V5293" s="15">
        <f>ROUNDUP((T5293+U5293+2*'Read Me'!$B$13)*(1+'Read Me'!$B$12),-1)</f>
        <v/>
      </c>
      <c r="W5293" s="15">
        <f>V5293*N5293*O5293</f>
        <v/>
      </c>
      <c r="X5293" s="12">
        <f>IF(LEFT(I5293,2)="MV",2*N5293*IF(L5293="1/C",O5293,1),0)</f>
        <v/>
      </c>
      <c r="Y5293" s="12">
        <f>IF(OR(LEFT(K5293,4)="LVAX",LEFT(K5293,6)="MV15AX",LEFT(K5293,4)="CTAX",LEFT(K5293,2)="W|"),2*N5293*O5293,0)</f>
        <v/>
      </c>
      <c r="Z5293" s="12" t="inlineStr">
        <is>
          <t>VD 2.3 %</t>
        </is>
      </c>
      <c r="AA5293" s="12">
        <f>N5293*O5293</f>
        <v/>
      </c>
    </row>
    <row r="5294">
      <c r="A5294" s="12" t="inlineStr">
        <is>
          <t>I-P-0115</t>
        </is>
      </c>
      <c r="B5294" s="12" t="inlineStr">
        <is>
          <t>I</t>
        </is>
      </c>
      <c r="C5294" s="12" t="inlineStr">
        <is>
          <t>Modular / portable power</t>
        </is>
      </c>
      <c r="D5294" s="12" t="inlineStr">
        <is>
          <t>Area / platform lighting circuit 1 (6 fixtures)</t>
        </is>
      </c>
      <c r="E5294" s="12" t="inlineStr"/>
      <c r="F5294" s="12" t="inlineStr">
        <is>
          <t>PCM: power control module</t>
        </is>
      </c>
      <c r="G5294" s="12" t="inlineStr"/>
      <c r="H5294" s="12" t="inlineStr">
        <is>
          <t>RICE 2 SCR + oxidation catalyst and stack</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3</v>
      </c>
      <c r="R5294" s="12" t="n">
        <v>5</v>
      </c>
      <c r="S5294" s="12" t="inlineStr">
        <is>
          <t>Duct bank</t>
        </is>
      </c>
      <c r="T5294" s="15" t="n">
        <v>736</v>
      </c>
      <c r="U5294" s="15" t="n">
        <v>132</v>
      </c>
      <c r="V5294" s="15">
        <f>ROUNDUP((T5294+U5294+2*'Read Me'!$B$13)*(1+'Read Me'!$B$12),-1)</f>
        <v/>
      </c>
      <c r="W5294" s="15">
        <f>V5294*N5294*O5294</f>
        <v/>
      </c>
      <c r="X5294" s="12">
        <f>IF(LEFT(I5294,2)="MV",2*N5294*IF(L5294="1/C",O5294,1),0)</f>
        <v/>
      </c>
      <c r="Y5294" s="12">
        <f>IF(OR(LEFT(K5294,4)="LVAX",LEFT(K5294,6)="MV15AX",LEFT(K5294,4)="CTAX",LEFT(K5294,2)="W|"),2*N5294*O5294,0)</f>
        <v/>
      </c>
      <c r="Z5294" s="12" t="inlineStr">
        <is>
          <t>fixture-to-fixture run included</t>
        </is>
      </c>
      <c r="AA5294" s="12">
        <f>N5294*O5294</f>
        <v/>
      </c>
    </row>
    <row r="5295">
      <c r="A5295" s="12" t="inlineStr">
        <is>
          <t>I-P-0116</t>
        </is>
      </c>
      <c r="B5295" s="12" t="inlineStr">
        <is>
          <t>I</t>
        </is>
      </c>
      <c r="C5295" s="12" t="inlineStr">
        <is>
          <t>Modular / portable power</t>
        </is>
      </c>
      <c r="D5295" s="12" t="inlineStr">
        <is>
          <t>Motor 1 of 5, 30 kW (VFD output)</t>
        </is>
      </c>
      <c r="E5295" s="12" t="inlineStr"/>
      <c r="F5295" s="12" t="inlineStr">
        <is>
          <t>PCM: power control module</t>
        </is>
      </c>
      <c r="G5295" s="12" t="inlineStr"/>
      <c r="H5295" s="12" t="inlineStr">
        <is>
          <t>RICE 2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596</v>
      </c>
      <c r="U5295" s="15" t="n">
        <v>192</v>
      </c>
      <c r="V5295" s="15">
        <f>ROUNDUP((T5295+U5295+2*'Read Me'!$B$13)*(1+'Read Me'!$B$12),-1)</f>
        <v/>
      </c>
      <c r="W5295" s="15">
        <f>V5295*N5295*O5295</f>
        <v/>
      </c>
      <c r="X5295" s="12">
        <f>IF(LEFT(I5295,2)="MV",2*N5295*IF(L5295="1/C",O5295,1),0)</f>
        <v/>
      </c>
      <c r="Y5295" s="12">
        <f>IF(OR(LEFT(K5295,4)="LVAX",LEFT(K5295,6)="MV15AX",LEFT(K5295,4)="CTAX",LEFT(K5295,2)="W|"),2*N5295*O5295,0)</f>
        <v/>
      </c>
      <c r="Z5295" s="12" t="inlineStr">
        <is>
          <t>VD 2.6 %</t>
        </is>
      </c>
      <c r="AA5295" s="12">
        <f>N5295*O5295</f>
        <v/>
      </c>
    </row>
    <row r="5296">
      <c r="A5296" s="12" t="inlineStr">
        <is>
          <t>I-P-0117</t>
        </is>
      </c>
      <c r="B5296" s="12" t="inlineStr">
        <is>
          <t>I</t>
        </is>
      </c>
      <c r="C5296" s="12" t="inlineStr">
        <is>
          <t>Modular / portable power</t>
        </is>
      </c>
      <c r="D5296" s="12" t="inlineStr">
        <is>
          <t>Motor 2 of 5, 30 kW (VFD output)</t>
        </is>
      </c>
      <c r="E5296" s="12" t="inlineStr"/>
      <c r="F5296" s="12" t="inlineStr">
        <is>
          <t>PCM: power control module</t>
        </is>
      </c>
      <c r="G5296" s="12" t="inlineStr"/>
      <c r="H5296" s="12" t="inlineStr">
        <is>
          <t>RICE 2 radiators (5)</t>
        </is>
      </c>
      <c r="I5296" s="12" t="inlineStr">
        <is>
          <t>LV 600 V</t>
        </is>
      </c>
      <c r="J5296" s="12" t="inlineStr">
        <is>
          <t>VFD cable 600 V 3/C Cu XHHW-2, 3 symmetrical grounds, overall Cu tape shield, TC-ER</t>
        </is>
      </c>
      <c r="K5296" s="12" t="inlineStr">
        <is>
          <t>VFD|3/C+3G|2</t>
        </is>
      </c>
      <c r="L5296" s="12" t="inlineStr">
        <is>
          <t>3/C+3G</t>
        </is>
      </c>
      <c r="M5296" s="12" t="inlineStr">
        <is>
          <t>2</t>
        </is>
      </c>
      <c r="N5296" s="12" t="n">
        <v>1</v>
      </c>
      <c r="O5296" s="12" t="n">
        <v>1</v>
      </c>
      <c r="P5296" s="12" t="n">
        <v>480</v>
      </c>
      <c r="Q5296" s="12" t="n">
        <v>30</v>
      </c>
      <c r="R5296" s="12" t="n">
        <v>42</v>
      </c>
      <c r="S5296" s="12" t="inlineStr">
        <is>
          <t>Duct bank</t>
        </is>
      </c>
      <c r="T5296" s="15" t="n">
        <v>596</v>
      </c>
      <c r="U5296" s="15" t="n">
        <v>192</v>
      </c>
      <c r="V5296" s="15">
        <f>ROUNDUP((T5296+U5296+2*'Read Me'!$B$13)*(1+'Read Me'!$B$12),-1)</f>
        <v/>
      </c>
      <c r="W5296" s="15">
        <f>V5296*N5296*O5296</f>
        <v/>
      </c>
      <c r="X5296" s="12">
        <f>IF(LEFT(I5296,2)="MV",2*N5296*IF(L5296="1/C",O5296,1),0)</f>
        <v/>
      </c>
      <c r="Y5296" s="12">
        <f>IF(OR(LEFT(K5296,4)="LVAX",LEFT(K5296,6)="MV15AX",LEFT(K5296,4)="CTAX",LEFT(K5296,2)="W|"),2*N5296*O5296,0)</f>
        <v/>
      </c>
      <c r="Z5296" s="12" t="inlineStr">
        <is>
          <t>VD 2.6 %</t>
        </is>
      </c>
      <c r="AA5296" s="12">
        <f>N5296*O5296</f>
        <v/>
      </c>
    </row>
    <row r="5297">
      <c r="A5297" s="12" t="inlineStr">
        <is>
          <t>I-P-0118</t>
        </is>
      </c>
      <c r="B5297" s="12" t="inlineStr">
        <is>
          <t>I</t>
        </is>
      </c>
      <c r="C5297" s="12" t="inlineStr">
        <is>
          <t>Modular / portable power</t>
        </is>
      </c>
      <c r="D5297" s="12" t="inlineStr">
        <is>
          <t>Motor 3 of 5, 30 kW (VFD output)</t>
        </is>
      </c>
      <c r="E5297" s="12" t="inlineStr"/>
      <c r="F5297" s="12" t="inlineStr">
        <is>
          <t>PCM: power control module</t>
        </is>
      </c>
      <c r="G5297" s="12" t="inlineStr"/>
      <c r="H5297" s="12" t="inlineStr">
        <is>
          <t>RICE 2 radiators (5)</t>
        </is>
      </c>
      <c r="I5297" s="12" t="inlineStr">
        <is>
          <t>LV 600 V</t>
        </is>
      </c>
      <c r="J5297" s="12" t="inlineStr">
        <is>
          <t>VFD cable 600 V 3/C Cu XHHW-2, 3 symmetrical grounds, overall Cu tape shield, TC-ER</t>
        </is>
      </c>
      <c r="K5297" s="12" t="inlineStr">
        <is>
          <t>VFD|3/C+3G|2</t>
        </is>
      </c>
      <c r="L5297" s="12" t="inlineStr">
        <is>
          <t>3/C+3G</t>
        </is>
      </c>
      <c r="M5297" s="12" t="inlineStr">
        <is>
          <t>2</t>
        </is>
      </c>
      <c r="N5297" s="12" t="n">
        <v>1</v>
      </c>
      <c r="O5297" s="12" t="n">
        <v>1</v>
      </c>
      <c r="P5297" s="12" t="n">
        <v>480</v>
      </c>
      <c r="Q5297" s="12" t="n">
        <v>30</v>
      </c>
      <c r="R5297" s="12" t="n">
        <v>42</v>
      </c>
      <c r="S5297" s="12" t="inlineStr">
        <is>
          <t>Duct bank</t>
        </is>
      </c>
      <c r="T5297" s="15" t="n">
        <v>596</v>
      </c>
      <c r="U5297" s="15" t="n">
        <v>192</v>
      </c>
      <c r="V5297" s="15">
        <f>ROUNDUP((T5297+U5297+2*'Read Me'!$B$13)*(1+'Read Me'!$B$12),-1)</f>
        <v/>
      </c>
      <c r="W5297" s="15">
        <f>V5297*N5297*O5297</f>
        <v/>
      </c>
      <c r="X5297" s="12">
        <f>IF(LEFT(I5297,2)="MV",2*N5297*IF(L5297="1/C",O5297,1),0)</f>
        <v/>
      </c>
      <c r="Y5297" s="12">
        <f>IF(OR(LEFT(K5297,4)="LVAX",LEFT(K5297,6)="MV15AX",LEFT(K5297,4)="CTAX",LEFT(K5297,2)="W|"),2*N5297*O5297,0)</f>
        <v/>
      </c>
      <c r="Z5297" s="12" t="inlineStr">
        <is>
          <t>VD 2.6 %</t>
        </is>
      </c>
      <c r="AA5297" s="12">
        <f>N5297*O5297</f>
        <v/>
      </c>
    </row>
    <row r="5298">
      <c r="A5298" s="12" t="inlineStr">
        <is>
          <t>I-P-0119</t>
        </is>
      </c>
      <c r="B5298" s="12" t="inlineStr">
        <is>
          <t>I</t>
        </is>
      </c>
      <c r="C5298" s="12" t="inlineStr">
        <is>
          <t>Modular / portable power</t>
        </is>
      </c>
      <c r="D5298" s="12" t="inlineStr">
        <is>
          <t>Motor 4 of 5, 30 kW (VFD output)</t>
        </is>
      </c>
      <c r="E5298" s="12" t="inlineStr"/>
      <c r="F5298" s="12" t="inlineStr">
        <is>
          <t>PCM: power control module</t>
        </is>
      </c>
      <c r="G5298" s="12" t="inlineStr"/>
      <c r="H5298" s="12" t="inlineStr">
        <is>
          <t>RICE 2 radiators (5)</t>
        </is>
      </c>
      <c r="I5298" s="12" t="inlineStr">
        <is>
          <t>LV 600 V</t>
        </is>
      </c>
      <c r="J5298" s="12" t="inlineStr">
        <is>
          <t>VFD cable 600 V 3/C Cu XHHW-2, 3 symmetrical grounds, overall Cu tape shield, TC-ER</t>
        </is>
      </c>
      <c r="K5298" s="12" t="inlineStr">
        <is>
          <t>VFD|3/C+3G|2</t>
        </is>
      </c>
      <c r="L5298" s="12" t="inlineStr">
        <is>
          <t>3/C+3G</t>
        </is>
      </c>
      <c r="M5298" s="12" t="inlineStr">
        <is>
          <t>2</t>
        </is>
      </c>
      <c r="N5298" s="12" t="n">
        <v>1</v>
      </c>
      <c r="O5298" s="12" t="n">
        <v>1</v>
      </c>
      <c r="P5298" s="12" t="n">
        <v>480</v>
      </c>
      <c r="Q5298" s="12" t="n">
        <v>30</v>
      </c>
      <c r="R5298" s="12" t="n">
        <v>42</v>
      </c>
      <c r="S5298" s="12" t="inlineStr">
        <is>
          <t>Duct bank</t>
        </is>
      </c>
      <c r="T5298" s="15" t="n">
        <v>596</v>
      </c>
      <c r="U5298" s="15" t="n">
        <v>192</v>
      </c>
      <c r="V5298" s="15">
        <f>ROUNDUP((T5298+U5298+2*'Read Me'!$B$13)*(1+'Read Me'!$B$12),-1)</f>
        <v/>
      </c>
      <c r="W5298" s="15">
        <f>V5298*N5298*O5298</f>
        <v/>
      </c>
      <c r="X5298" s="12">
        <f>IF(LEFT(I5298,2)="MV",2*N5298*IF(L5298="1/C",O5298,1),0)</f>
        <v/>
      </c>
      <c r="Y5298" s="12">
        <f>IF(OR(LEFT(K5298,4)="LVAX",LEFT(K5298,6)="MV15AX",LEFT(K5298,4)="CTAX",LEFT(K5298,2)="W|"),2*N5298*O5298,0)</f>
        <v/>
      </c>
      <c r="Z5298" s="12" t="inlineStr">
        <is>
          <t>VD 2.6 %</t>
        </is>
      </c>
      <c r="AA5298" s="12">
        <f>N5298*O5298</f>
        <v/>
      </c>
    </row>
    <row r="5299">
      <c r="A5299" s="12" t="inlineStr">
        <is>
          <t>I-P-0120</t>
        </is>
      </c>
      <c r="B5299" s="12" t="inlineStr">
        <is>
          <t>I</t>
        </is>
      </c>
      <c r="C5299" s="12" t="inlineStr">
        <is>
          <t>Modular / portable power</t>
        </is>
      </c>
      <c r="D5299" s="12" t="inlineStr">
        <is>
          <t>Motor 5 of 5, 30 kW (VFD output)</t>
        </is>
      </c>
      <c r="E5299" s="12" t="inlineStr"/>
      <c r="F5299" s="12" t="inlineStr">
        <is>
          <t>PCM: power control module</t>
        </is>
      </c>
      <c r="G5299" s="12" t="inlineStr"/>
      <c r="H5299" s="12" t="inlineStr">
        <is>
          <t>RICE 2 radiators (5)</t>
        </is>
      </c>
      <c r="I5299" s="12" t="inlineStr">
        <is>
          <t>LV 600 V</t>
        </is>
      </c>
      <c r="J5299" s="12" t="inlineStr">
        <is>
          <t>VFD cable 600 V 3/C Cu XHHW-2, 3 symmetrical grounds, overall Cu tape shield, TC-ER</t>
        </is>
      </c>
      <c r="K5299" s="12" t="inlineStr">
        <is>
          <t>VFD|3/C+3G|2</t>
        </is>
      </c>
      <c r="L5299" s="12" t="inlineStr">
        <is>
          <t>3/C+3G</t>
        </is>
      </c>
      <c r="M5299" s="12" t="inlineStr">
        <is>
          <t>2</t>
        </is>
      </c>
      <c r="N5299" s="12" t="n">
        <v>1</v>
      </c>
      <c r="O5299" s="12" t="n">
        <v>1</v>
      </c>
      <c r="P5299" s="12" t="n">
        <v>480</v>
      </c>
      <c r="Q5299" s="12" t="n">
        <v>30</v>
      </c>
      <c r="R5299" s="12" t="n">
        <v>42</v>
      </c>
      <c r="S5299" s="12" t="inlineStr">
        <is>
          <t>Duct bank</t>
        </is>
      </c>
      <c r="T5299" s="15" t="n">
        <v>596</v>
      </c>
      <c r="U5299" s="15" t="n">
        <v>192</v>
      </c>
      <c r="V5299" s="15">
        <f>ROUNDUP((T5299+U5299+2*'Read Me'!$B$13)*(1+'Read Me'!$B$12),-1)</f>
        <v/>
      </c>
      <c r="W5299" s="15">
        <f>V5299*N5299*O5299</f>
        <v/>
      </c>
      <c r="X5299" s="12">
        <f>IF(LEFT(I5299,2)="MV",2*N5299*IF(L5299="1/C",O5299,1),0)</f>
        <v/>
      </c>
      <c r="Y5299" s="12">
        <f>IF(OR(LEFT(K5299,4)="LVAX",LEFT(K5299,6)="MV15AX",LEFT(K5299,4)="CTAX",LEFT(K5299,2)="W|"),2*N5299*O5299,0)</f>
        <v/>
      </c>
      <c r="Z5299" s="12" t="inlineStr">
        <is>
          <t>VD 2.6 %</t>
        </is>
      </c>
      <c r="AA5299" s="12">
        <f>N5299*O5299</f>
        <v/>
      </c>
    </row>
    <row r="5300">
      <c r="A5300" s="12" t="inlineStr">
        <is>
          <t>I-P-0121</t>
        </is>
      </c>
      <c r="B5300" s="12" t="inlineStr">
        <is>
          <t>I</t>
        </is>
      </c>
      <c r="C5300" s="12" t="inlineStr">
        <is>
          <t>Modular / portable power</t>
        </is>
      </c>
      <c r="D5300" s="12" t="inlineStr">
        <is>
          <t>Motor 1 of 1, 15 kW</t>
        </is>
      </c>
      <c r="E5300" s="12" t="inlineStr"/>
      <c r="F5300" s="12" t="inlineStr">
        <is>
          <t>PCM: power control module</t>
        </is>
      </c>
      <c r="G5300" s="12" t="inlineStr"/>
      <c r="H5300" s="12" t="inlineStr">
        <is>
          <t>RICE 3 SCR + oxidation catalyst and stack</t>
        </is>
      </c>
      <c r="I5300" s="12" t="inlineStr">
        <is>
          <t>LV 600 V</t>
        </is>
      </c>
      <c r="J5300" s="12" t="inlineStr">
        <is>
          <t>Type TC-ER 600 V 3/C Cu XHHW-2 + ground, PVC jacket</t>
        </is>
      </c>
      <c r="K5300" s="12" t="inlineStr">
        <is>
          <t>LV|3/C+G|6</t>
        </is>
      </c>
      <c r="L5300" s="12" t="inlineStr">
        <is>
          <t>3/C+G</t>
        </is>
      </c>
      <c r="M5300" s="12" t="inlineStr">
        <is>
          <t>6</t>
        </is>
      </c>
      <c r="N5300" s="12" t="n">
        <v>1</v>
      </c>
      <c r="O5300" s="12" t="n">
        <v>1</v>
      </c>
      <c r="P5300" s="12" t="n">
        <v>480</v>
      </c>
      <c r="Q5300" s="12" t="n">
        <v>15</v>
      </c>
      <c r="R5300" s="12" t="n">
        <v>21.2</v>
      </c>
      <c r="S5300" s="12" t="inlineStr">
        <is>
          <t>Duct bank</t>
        </is>
      </c>
      <c r="T5300" s="15" t="n">
        <v>436</v>
      </c>
      <c r="U5300" s="15" t="n">
        <v>104</v>
      </c>
      <c r="V5300" s="15">
        <f>ROUNDUP((T5300+U5300+2*'Read Me'!$B$13)*(1+'Read Me'!$B$12),-1)</f>
        <v/>
      </c>
      <c r="W5300" s="15">
        <f>V5300*N5300*O5300</f>
        <v/>
      </c>
      <c r="X5300" s="12">
        <f>IF(LEFT(I5300,2)="MV",2*N5300*IF(L5300="1/C",O5300,1),0)</f>
        <v/>
      </c>
      <c r="Y5300" s="12">
        <f>IF(OR(LEFT(K5300,4)="LVAX",LEFT(K5300,6)="MV15AX",LEFT(K5300,4)="CTAX",LEFT(K5300,2)="W|"),2*N5300*O5300,0)</f>
        <v/>
      </c>
      <c r="Z5300" s="12" t="inlineStr">
        <is>
          <t>VD 2.2 %</t>
        </is>
      </c>
      <c r="AA5300" s="12">
        <f>N5300*O5300</f>
        <v/>
      </c>
    </row>
    <row r="5301">
      <c r="A5301" s="12" t="inlineStr">
        <is>
          <t>I-P-0122</t>
        </is>
      </c>
      <c r="B5301" s="12" t="inlineStr">
        <is>
          <t>I</t>
        </is>
      </c>
      <c r="C5301" s="12" t="inlineStr">
        <is>
          <t>Modular / portable power</t>
        </is>
      </c>
      <c r="D5301" s="12" t="inlineStr">
        <is>
          <t>Area / platform lighting circuit 1 (6 fixtures)</t>
        </is>
      </c>
      <c r="E5301" s="12" t="inlineStr"/>
      <c r="F5301" s="12" t="inlineStr">
        <is>
          <t>PCM: power control module</t>
        </is>
      </c>
      <c r="G5301" s="12" t="inlineStr"/>
      <c r="H5301" s="12" t="inlineStr">
        <is>
          <t>RICE 3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3</v>
      </c>
      <c r="R5301" s="12" t="n">
        <v>5</v>
      </c>
      <c r="S5301" s="12" t="inlineStr">
        <is>
          <t>Duct bank</t>
        </is>
      </c>
      <c r="T5301" s="15" t="n">
        <v>736</v>
      </c>
      <c r="U5301" s="15" t="n">
        <v>104</v>
      </c>
      <c r="V5301" s="15">
        <f>ROUNDUP((T5301+U5301+2*'Read Me'!$B$13)*(1+'Read Me'!$B$12),-1)</f>
        <v/>
      </c>
      <c r="W5301" s="15">
        <f>V5301*N5301*O5301</f>
        <v/>
      </c>
      <c r="X5301" s="12">
        <f>IF(LEFT(I5301,2)="MV",2*N5301*IF(L5301="1/C",O5301,1),0)</f>
        <v/>
      </c>
      <c r="Y5301" s="12">
        <f>IF(OR(LEFT(K5301,4)="LVAX",LEFT(K5301,6)="MV15AX",LEFT(K5301,4)="CTAX",LEFT(K5301,2)="W|"),2*N5301*O5301,0)</f>
        <v/>
      </c>
      <c r="Z5301" s="12" t="inlineStr">
        <is>
          <t>fixture-to-fixture run included</t>
        </is>
      </c>
      <c r="AA5301" s="12">
        <f>N5301*O5301</f>
        <v/>
      </c>
    </row>
    <row r="5302">
      <c r="A5302" s="12" t="inlineStr">
        <is>
          <t>I-P-0123</t>
        </is>
      </c>
      <c r="B5302" s="12" t="inlineStr">
        <is>
          <t>I</t>
        </is>
      </c>
      <c r="C5302" s="12" t="inlineStr">
        <is>
          <t>Modular / portable power</t>
        </is>
      </c>
      <c r="D5302" s="12" t="inlineStr">
        <is>
          <t>Motor 1 of 5, 30 kW (VFD output)</t>
        </is>
      </c>
      <c r="E5302" s="12" t="inlineStr"/>
      <c r="F5302" s="12" t="inlineStr">
        <is>
          <t>PCM: power control module</t>
        </is>
      </c>
      <c r="G5302" s="12" t="inlineStr"/>
      <c r="H5302" s="12" t="inlineStr">
        <is>
          <t>RICE 3 radiators (5)</t>
        </is>
      </c>
      <c r="I5302" s="12" t="inlineStr">
        <is>
          <t>LV 600 V</t>
        </is>
      </c>
      <c r="J5302" s="12" t="inlineStr">
        <is>
          <t>VFD cable 600 V 3/C Cu XHHW-2, 3 symmetrical grounds, overall Cu tape shield, TC-ER</t>
        </is>
      </c>
      <c r="K5302" s="12" t="inlineStr">
        <is>
          <t>VFD|3/C+3G|2</t>
        </is>
      </c>
      <c r="L5302" s="12" t="inlineStr">
        <is>
          <t>3/C+3G</t>
        </is>
      </c>
      <c r="M5302" s="12" t="inlineStr">
        <is>
          <t>2</t>
        </is>
      </c>
      <c r="N5302" s="12" t="n">
        <v>1</v>
      </c>
      <c r="O5302" s="12" t="n">
        <v>1</v>
      </c>
      <c r="P5302" s="12" t="n">
        <v>480</v>
      </c>
      <c r="Q5302" s="12" t="n">
        <v>30</v>
      </c>
      <c r="R5302" s="12" t="n">
        <v>42</v>
      </c>
      <c r="S5302" s="12" t="inlineStr">
        <is>
          <t>Duct bank</t>
        </is>
      </c>
      <c r="T5302" s="15" t="n">
        <v>424</v>
      </c>
      <c r="U5302" s="15" t="n">
        <v>240</v>
      </c>
      <c r="V5302" s="15">
        <f>ROUNDUP((T5302+U5302+2*'Read Me'!$B$13)*(1+'Read Me'!$B$12),-1)</f>
        <v/>
      </c>
      <c r="W5302" s="15">
        <f>V5302*N5302*O5302</f>
        <v/>
      </c>
      <c r="X5302" s="12">
        <f>IF(LEFT(I5302,2)="MV",2*N5302*IF(L5302="1/C",O5302,1),0)</f>
        <v/>
      </c>
      <c r="Y5302" s="12">
        <f>IF(OR(LEFT(K5302,4)="LVAX",LEFT(K5302,6)="MV15AX",LEFT(K5302,4)="CTAX",LEFT(K5302,2)="W|"),2*N5302*O5302,0)</f>
        <v/>
      </c>
      <c r="Z5302" s="12" t="inlineStr">
        <is>
          <t>VD 2.2 %</t>
        </is>
      </c>
      <c r="AA5302" s="12">
        <f>N5302*O5302</f>
        <v/>
      </c>
    </row>
    <row r="5303">
      <c r="A5303" s="12" t="inlineStr">
        <is>
          <t>I-P-0124</t>
        </is>
      </c>
      <c r="B5303" s="12" t="inlineStr">
        <is>
          <t>I</t>
        </is>
      </c>
      <c r="C5303" s="12" t="inlineStr">
        <is>
          <t>Modular / portable power</t>
        </is>
      </c>
      <c r="D5303" s="12" t="inlineStr">
        <is>
          <t>Motor 2 of 5, 30 kW (VFD output)</t>
        </is>
      </c>
      <c r="E5303" s="12" t="inlineStr"/>
      <c r="F5303" s="12" t="inlineStr">
        <is>
          <t>PCM: power control module</t>
        </is>
      </c>
      <c r="G5303" s="12" t="inlineStr"/>
      <c r="H5303" s="12" t="inlineStr">
        <is>
          <t>RICE 3 radiators (5)</t>
        </is>
      </c>
      <c r="I5303" s="12" t="inlineStr">
        <is>
          <t>LV 600 V</t>
        </is>
      </c>
      <c r="J5303" s="12" t="inlineStr">
        <is>
          <t>VFD cable 600 V 3/C Cu XHHW-2, 3 symmetrical grounds, overall Cu tape shield, TC-ER</t>
        </is>
      </c>
      <c r="K5303" s="12" t="inlineStr">
        <is>
          <t>VFD|3/C+3G|2</t>
        </is>
      </c>
      <c r="L5303" s="12" t="inlineStr">
        <is>
          <t>3/C+3G</t>
        </is>
      </c>
      <c r="M5303" s="12" t="inlineStr">
        <is>
          <t>2</t>
        </is>
      </c>
      <c r="N5303" s="12" t="n">
        <v>1</v>
      </c>
      <c r="O5303" s="12" t="n">
        <v>1</v>
      </c>
      <c r="P5303" s="12" t="n">
        <v>480</v>
      </c>
      <c r="Q5303" s="12" t="n">
        <v>30</v>
      </c>
      <c r="R5303" s="12" t="n">
        <v>42</v>
      </c>
      <c r="S5303" s="12" t="inlineStr">
        <is>
          <t>Duct bank</t>
        </is>
      </c>
      <c r="T5303" s="15" t="n">
        <v>424</v>
      </c>
      <c r="U5303" s="15" t="n">
        <v>240</v>
      </c>
      <c r="V5303" s="15">
        <f>ROUNDUP((T5303+U5303+2*'Read Me'!$B$13)*(1+'Read Me'!$B$12),-1)</f>
        <v/>
      </c>
      <c r="W5303" s="15">
        <f>V5303*N5303*O5303</f>
        <v/>
      </c>
      <c r="X5303" s="12">
        <f>IF(LEFT(I5303,2)="MV",2*N5303*IF(L5303="1/C",O5303,1),0)</f>
        <v/>
      </c>
      <c r="Y5303" s="12">
        <f>IF(OR(LEFT(K5303,4)="LVAX",LEFT(K5303,6)="MV15AX",LEFT(K5303,4)="CTAX",LEFT(K5303,2)="W|"),2*N5303*O5303,0)</f>
        <v/>
      </c>
      <c r="Z5303" s="12" t="inlineStr">
        <is>
          <t>VD 2.2 %</t>
        </is>
      </c>
      <c r="AA5303" s="12">
        <f>N5303*O5303</f>
        <v/>
      </c>
    </row>
    <row r="5304">
      <c r="A5304" s="12" t="inlineStr">
        <is>
          <t>I-P-0125</t>
        </is>
      </c>
      <c r="B5304" s="12" t="inlineStr">
        <is>
          <t>I</t>
        </is>
      </c>
      <c r="C5304" s="12" t="inlineStr">
        <is>
          <t>Modular / portable power</t>
        </is>
      </c>
      <c r="D5304" s="12" t="inlineStr">
        <is>
          <t>Motor 3 of 5, 30 kW (VFD output)</t>
        </is>
      </c>
      <c r="E5304" s="12" t="inlineStr"/>
      <c r="F5304" s="12" t="inlineStr">
        <is>
          <t>PCM: power control module</t>
        </is>
      </c>
      <c r="G5304" s="12" t="inlineStr"/>
      <c r="H5304" s="12" t="inlineStr">
        <is>
          <t>RICE 3 radiators (5)</t>
        </is>
      </c>
      <c r="I5304" s="12" t="inlineStr">
        <is>
          <t>LV 600 V</t>
        </is>
      </c>
      <c r="J5304" s="12" t="inlineStr">
        <is>
          <t>VFD cable 600 V 3/C Cu XHHW-2, 3 symmetrical grounds, overall Cu tape shield, TC-ER</t>
        </is>
      </c>
      <c r="K5304" s="12" t="inlineStr">
        <is>
          <t>VFD|3/C+3G|2</t>
        </is>
      </c>
      <c r="L5304" s="12" t="inlineStr">
        <is>
          <t>3/C+3G</t>
        </is>
      </c>
      <c r="M5304" s="12" t="inlineStr">
        <is>
          <t>2</t>
        </is>
      </c>
      <c r="N5304" s="12" t="n">
        <v>1</v>
      </c>
      <c r="O5304" s="12" t="n">
        <v>1</v>
      </c>
      <c r="P5304" s="12" t="n">
        <v>480</v>
      </c>
      <c r="Q5304" s="12" t="n">
        <v>30</v>
      </c>
      <c r="R5304" s="12" t="n">
        <v>42</v>
      </c>
      <c r="S5304" s="12" t="inlineStr">
        <is>
          <t>Duct bank</t>
        </is>
      </c>
      <c r="T5304" s="15" t="n">
        <v>424</v>
      </c>
      <c r="U5304" s="15" t="n">
        <v>240</v>
      </c>
      <c r="V5304" s="15">
        <f>ROUNDUP((T5304+U5304+2*'Read Me'!$B$13)*(1+'Read Me'!$B$12),-1)</f>
        <v/>
      </c>
      <c r="W5304" s="15">
        <f>V5304*N5304*O5304</f>
        <v/>
      </c>
      <c r="X5304" s="12">
        <f>IF(LEFT(I5304,2)="MV",2*N5304*IF(L5304="1/C",O5304,1),0)</f>
        <v/>
      </c>
      <c r="Y5304" s="12">
        <f>IF(OR(LEFT(K5304,4)="LVAX",LEFT(K5304,6)="MV15AX",LEFT(K5304,4)="CTAX",LEFT(K5304,2)="W|"),2*N5304*O5304,0)</f>
        <v/>
      </c>
      <c r="Z5304" s="12" t="inlineStr">
        <is>
          <t>VD 2.2 %</t>
        </is>
      </c>
      <c r="AA5304" s="12">
        <f>N5304*O5304</f>
        <v/>
      </c>
    </row>
    <row r="5305">
      <c r="A5305" s="12" t="inlineStr">
        <is>
          <t>I-P-0126</t>
        </is>
      </c>
      <c r="B5305" s="12" t="inlineStr">
        <is>
          <t>I</t>
        </is>
      </c>
      <c r="C5305" s="12" t="inlineStr">
        <is>
          <t>Modular / portable power</t>
        </is>
      </c>
      <c r="D5305" s="12" t="inlineStr">
        <is>
          <t>Motor 4 of 5, 30 kW (VFD output)</t>
        </is>
      </c>
      <c r="E5305" s="12" t="inlineStr"/>
      <c r="F5305" s="12" t="inlineStr">
        <is>
          <t>PCM: power control module</t>
        </is>
      </c>
      <c r="G5305" s="12" t="inlineStr"/>
      <c r="H5305" s="12" t="inlineStr">
        <is>
          <t>RICE 3 radiators (5)</t>
        </is>
      </c>
      <c r="I5305" s="12" t="inlineStr">
        <is>
          <t>LV 600 V</t>
        </is>
      </c>
      <c r="J5305" s="12" t="inlineStr">
        <is>
          <t>VFD cable 600 V 3/C Cu XHHW-2, 3 symmetrical grounds, overall Cu tape shield, TC-ER</t>
        </is>
      </c>
      <c r="K5305" s="12" t="inlineStr">
        <is>
          <t>VFD|3/C+3G|2</t>
        </is>
      </c>
      <c r="L5305" s="12" t="inlineStr">
        <is>
          <t>3/C+3G</t>
        </is>
      </c>
      <c r="M5305" s="12" t="inlineStr">
        <is>
          <t>2</t>
        </is>
      </c>
      <c r="N5305" s="12" t="n">
        <v>1</v>
      </c>
      <c r="O5305" s="12" t="n">
        <v>1</v>
      </c>
      <c r="P5305" s="12" t="n">
        <v>480</v>
      </c>
      <c r="Q5305" s="12" t="n">
        <v>30</v>
      </c>
      <c r="R5305" s="12" t="n">
        <v>42</v>
      </c>
      <c r="S5305" s="12" t="inlineStr">
        <is>
          <t>Duct bank</t>
        </is>
      </c>
      <c r="T5305" s="15" t="n">
        <v>424</v>
      </c>
      <c r="U5305" s="15" t="n">
        <v>240</v>
      </c>
      <c r="V5305" s="15">
        <f>ROUNDUP((T5305+U5305+2*'Read Me'!$B$13)*(1+'Read Me'!$B$12),-1)</f>
        <v/>
      </c>
      <c r="W5305" s="15">
        <f>V5305*N5305*O5305</f>
        <v/>
      </c>
      <c r="X5305" s="12">
        <f>IF(LEFT(I5305,2)="MV",2*N5305*IF(L5305="1/C",O5305,1),0)</f>
        <v/>
      </c>
      <c r="Y5305" s="12">
        <f>IF(OR(LEFT(K5305,4)="LVAX",LEFT(K5305,6)="MV15AX",LEFT(K5305,4)="CTAX",LEFT(K5305,2)="W|"),2*N5305*O5305,0)</f>
        <v/>
      </c>
      <c r="Z5305" s="12" t="inlineStr">
        <is>
          <t>VD 2.2 %</t>
        </is>
      </c>
      <c r="AA5305" s="12">
        <f>N5305*O5305</f>
        <v/>
      </c>
    </row>
    <row r="5306">
      <c r="A5306" s="12" t="inlineStr">
        <is>
          <t>I-P-0127</t>
        </is>
      </c>
      <c r="B5306" s="12" t="inlineStr">
        <is>
          <t>I</t>
        </is>
      </c>
      <c r="C5306" s="12" t="inlineStr">
        <is>
          <t>Modular / portable power</t>
        </is>
      </c>
      <c r="D5306" s="12" t="inlineStr">
        <is>
          <t>Motor 5 of 5, 30 kW (VFD output)</t>
        </is>
      </c>
      <c r="E5306" s="12" t="inlineStr"/>
      <c r="F5306" s="12" t="inlineStr">
        <is>
          <t>PCM: power control module</t>
        </is>
      </c>
      <c r="G5306" s="12" t="inlineStr"/>
      <c r="H5306" s="12" t="inlineStr">
        <is>
          <t>RICE 3 radiators (5)</t>
        </is>
      </c>
      <c r="I5306" s="12" t="inlineStr">
        <is>
          <t>LV 600 V</t>
        </is>
      </c>
      <c r="J5306" s="12" t="inlineStr">
        <is>
          <t>VFD cable 600 V 3/C Cu XHHW-2, 3 symmetrical grounds, overall Cu tape shield, TC-ER</t>
        </is>
      </c>
      <c r="K5306" s="12" t="inlineStr">
        <is>
          <t>VFD|3/C+3G|2</t>
        </is>
      </c>
      <c r="L5306" s="12" t="inlineStr">
        <is>
          <t>3/C+3G</t>
        </is>
      </c>
      <c r="M5306" s="12" t="inlineStr">
        <is>
          <t>2</t>
        </is>
      </c>
      <c r="N5306" s="12" t="n">
        <v>1</v>
      </c>
      <c r="O5306" s="12" t="n">
        <v>1</v>
      </c>
      <c r="P5306" s="12" t="n">
        <v>480</v>
      </c>
      <c r="Q5306" s="12" t="n">
        <v>30</v>
      </c>
      <c r="R5306" s="12" t="n">
        <v>42</v>
      </c>
      <c r="S5306" s="12" t="inlineStr">
        <is>
          <t>Duct bank</t>
        </is>
      </c>
      <c r="T5306" s="15" t="n">
        <v>424</v>
      </c>
      <c r="U5306" s="15" t="n">
        <v>240</v>
      </c>
      <c r="V5306" s="15">
        <f>ROUNDUP((T5306+U5306+2*'Read Me'!$B$13)*(1+'Read Me'!$B$12),-1)</f>
        <v/>
      </c>
      <c r="W5306" s="15">
        <f>V5306*N5306*O5306</f>
        <v/>
      </c>
      <c r="X5306" s="12">
        <f>IF(LEFT(I5306,2)="MV",2*N5306*IF(L5306="1/C",O5306,1),0)</f>
        <v/>
      </c>
      <c r="Y5306" s="12">
        <f>IF(OR(LEFT(K5306,4)="LVAX",LEFT(K5306,6)="MV15AX",LEFT(K5306,4)="CTAX",LEFT(K5306,2)="W|"),2*N5306*O5306,0)</f>
        <v/>
      </c>
      <c r="Z5306" s="12" t="inlineStr">
        <is>
          <t>VD 2.2 %</t>
        </is>
      </c>
      <c r="AA5306" s="12">
        <f>N5306*O5306</f>
        <v/>
      </c>
    </row>
    <row r="5307">
      <c r="A5307" s="12" t="inlineStr">
        <is>
          <t>I-P-0128</t>
        </is>
      </c>
      <c r="B5307" s="12" t="inlineStr">
        <is>
          <t>I</t>
        </is>
      </c>
      <c r="C5307" s="12" t="inlineStr">
        <is>
          <t>Modular / portable power</t>
        </is>
      </c>
      <c r="D5307" s="12" t="inlineStr">
        <is>
          <t>Motor 1 of 1, 15 kW</t>
        </is>
      </c>
      <c r="E5307" s="12" t="inlineStr"/>
      <c r="F5307" s="12" t="inlineStr">
        <is>
          <t>PCM: power control module</t>
        </is>
      </c>
      <c r="G5307" s="12" t="inlineStr"/>
      <c r="H5307" s="12" t="inlineStr">
        <is>
          <t>RICE 4 SCR + oxidation catalyst and stack</t>
        </is>
      </c>
      <c r="I5307" s="12" t="inlineStr">
        <is>
          <t>LV 600 V</t>
        </is>
      </c>
      <c r="J5307" s="12" t="inlineStr">
        <is>
          <t>Type TC-ER 600 V 3/C Cu XHHW-2 + ground, PVC jacket</t>
        </is>
      </c>
      <c r="K5307" s="12" t="inlineStr">
        <is>
          <t>LV|3/C+G|6</t>
        </is>
      </c>
      <c r="L5307" s="12" t="inlineStr">
        <is>
          <t>3/C+G</t>
        </is>
      </c>
      <c r="M5307" s="12" t="inlineStr">
        <is>
          <t>6</t>
        </is>
      </c>
      <c r="N5307" s="12" t="n">
        <v>1</v>
      </c>
      <c r="O5307" s="12" t="n">
        <v>1</v>
      </c>
      <c r="P5307" s="12" t="n">
        <v>480</v>
      </c>
      <c r="Q5307" s="12" t="n">
        <v>15</v>
      </c>
      <c r="R5307" s="12" t="n">
        <v>21.2</v>
      </c>
      <c r="S5307" s="12" t="inlineStr">
        <is>
          <t>Duct bank</t>
        </is>
      </c>
      <c r="T5307" s="15" t="n">
        <v>436</v>
      </c>
      <c r="U5307" s="15" t="n">
        <v>76</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I-P-0129</t>
        </is>
      </c>
      <c r="B5308" s="12" t="inlineStr">
        <is>
          <t>I</t>
        </is>
      </c>
      <c r="C5308" s="12" t="inlineStr">
        <is>
          <t>Modular / portable power</t>
        </is>
      </c>
      <c r="D5308" s="12" t="inlineStr">
        <is>
          <t>Area / platform lighting circuit 1 (6 fixtures)</t>
        </is>
      </c>
      <c r="E5308" s="12" t="inlineStr"/>
      <c r="F5308" s="12" t="inlineStr">
        <is>
          <t>PCM: power control module</t>
        </is>
      </c>
      <c r="G5308" s="12" t="inlineStr"/>
      <c r="H5308" s="12" t="inlineStr">
        <is>
          <t>RICE 4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3</v>
      </c>
      <c r="R5308" s="12" t="n">
        <v>5</v>
      </c>
      <c r="S5308" s="12" t="inlineStr">
        <is>
          <t>Duct bank</t>
        </is>
      </c>
      <c r="T5308" s="15" t="n">
        <v>736</v>
      </c>
      <c r="U5308" s="15" t="n">
        <v>76</v>
      </c>
      <c r="V5308" s="15">
        <f>ROUNDUP((T5308+U5308+2*'Read Me'!$B$13)*(1+'Read Me'!$B$12),-1)</f>
        <v/>
      </c>
      <c r="W5308" s="15">
        <f>V5308*N5308*O5308</f>
        <v/>
      </c>
      <c r="X5308" s="12">
        <f>IF(LEFT(I5308,2)="MV",2*N5308*IF(L5308="1/C",O5308,1),0)</f>
        <v/>
      </c>
      <c r="Y5308" s="12">
        <f>IF(OR(LEFT(K5308,4)="LVAX",LEFT(K5308,6)="MV15AX",LEFT(K5308,4)="CTAX",LEFT(K5308,2)="W|"),2*N5308*O5308,0)</f>
        <v/>
      </c>
      <c r="Z5308" s="12" t="inlineStr">
        <is>
          <t>fixture-to-fixture run included</t>
        </is>
      </c>
      <c r="AA5308" s="12">
        <f>N5308*O5308</f>
        <v/>
      </c>
    </row>
    <row r="5309">
      <c r="A5309" s="12" t="inlineStr">
        <is>
          <t>I-P-0130</t>
        </is>
      </c>
      <c r="B5309" s="12" t="inlineStr">
        <is>
          <t>I</t>
        </is>
      </c>
      <c r="C5309" s="12" t="inlineStr">
        <is>
          <t>Modular / portable power</t>
        </is>
      </c>
      <c r="D5309" s="12" t="inlineStr">
        <is>
          <t>Motor 1 of 5, 30 kW (VFD output)</t>
        </is>
      </c>
      <c r="E5309" s="12" t="inlineStr"/>
      <c r="F5309" s="12" t="inlineStr">
        <is>
          <t>PCM: power control module</t>
        </is>
      </c>
      <c r="G5309" s="12" t="inlineStr"/>
      <c r="H5309" s="12" t="inlineStr">
        <is>
          <t>RICE 4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206</v>
      </c>
      <c r="V5309" s="15">
        <f>ROUNDUP((T5309+U5309+2*'Read Me'!$B$13)*(1+'Read Me'!$B$12),-1)</f>
        <v/>
      </c>
      <c r="W5309" s="15">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I-P-0131</t>
        </is>
      </c>
      <c r="B5310" s="12" t="inlineStr">
        <is>
          <t>I</t>
        </is>
      </c>
      <c r="C5310" s="12" t="inlineStr">
        <is>
          <t>Modular / portable power</t>
        </is>
      </c>
      <c r="D5310" s="12" t="inlineStr">
        <is>
          <t>Motor 2 of 5, 30 kW (VFD output)</t>
        </is>
      </c>
      <c r="E5310" s="12" t="inlineStr"/>
      <c r="F5310" s="12" t="inlineStr">
        <is>
          <t>PCM: power control module</t>
        </is>
      </c>
      <c r="G5310" s="12" t="inlineStr"/>
      <c r="H5310" s="12" t="inlineStr">
        <is>
          <t>RICE 4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206</v>
      </c>
      <c r="V5310" s="15">
        <f>ROUNDUP((T5310+U5310+2*'Read Me'!$B$13)*(1+'Read Me'!$B$12),-1)</f>
        <v/>
      </c>
      <c r="W5310" s="15">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I-P-0132</t>
        </is>
      </c>
      <c r="B5311" s="12" t="inlineStr">
        <is>
          <t>I</t>
        </is>
      </c>
      <c r="C5311" s="12" t="inlineStr">
        <is>
          <t>Modular / portable power</t>
        </is>
      </c>
      <c r="D5311" s="12" t="inlineStr">
        <is>
          <t>Motor 3 of 5, 30 kW (VFD output)</t>
        </is>
      </c>
      <c r="E5311" s="12" t="inlineStr"/>
      <c r="F5311" s="12" t="inlineStr">
        <is>
          <t>PCM: power control module</t>
        </is>
      </c>
      <c r="G5311" s="12" t="inlineStr"/>
      <c r="H5311" s="12" t="inlineStr">
        <is>
          <t>RICE 4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206</v>
      </c>
      <c r="V5311" s="15">
        <f>ROUNDUP((T5311+U5311+2*'Read Me'!$B$13)*(1+'Read Me'!$B$12),-1)</f>
        <v/>
      </c>
      <c r="W5311" s="15">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I-P-0133</t>
        </is>
      </c>
      <c r="B5312" s="12" t="inlineStr">
        <is>
          <t>I</t>
        </is>
      </c>
      <c r="C5312" s="12" t="inlineStr">
        <is>
          <t>Modular / portable power</t>
        </is>
      </c>
      <c r="D5312" s="12" t="inlineStr">
        <is>
          <t>Motor 4 of 5, 30 kW (VFD output)</t>
        </is>
      </c>
      <c r="E5312" s="12" t="inlineStr"/>
      <c r="F5312" s="12" t="inlineStr">
        <is>
          <t>PCM: power control module</t>
        </is>
      </c>
      <c r="G5312" s="12" t="inlineStr"/>
      <c r="H5312" s="12" t="inlineStr">
        <is>
          <t>RICE 4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206</v>
      </c>
      <c r="V5312" s="15">
        <f>ROUNDUP((T5312+U5312+2*'Read Me'!$B$13)*(1+'Read Me'!$B$12),-1)</f>
        <v/>
      </c>
      <c r="W5312" s="15">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I-P-0134</t>
        </is>
      </c>
      <c r="B5313" s="12" t="inlineStr">
        <is>
          <t>I</t>
        </is>
      </c>
      <c r="C5313" s="12" t="inlineStr">
        <is>
          <t>Modular / portable power</t>
        </is>
      </c>
      <c r="D5313" s="12" t="inlineStr">
        <is>
          <t>Motor 5 of 5, 30 kW (VFD output)</t>
        </is>
      </c>
      <c r="E5313" s="12" t="inlineStr"/>
      <c r="F5313" s="12" t="inlineStr">
        <is>
          <t>PCM: power control module</t>
        </is>
      </c>
      <c r="G5313" s="12" t="inlineStr"/>
      <c r="H5313" s="12" t="inlineStr">
        <is>
          <t>RICE 4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206</v>
      </c>
      <c r="V5313" s="15">
        <f>ROUNDUP((T5313+U5313+2*'Read Me'!$B$13)*(1+'Read Me'!$B$12),-1)</f>
        <v/>
      </c>
      <c r="W5313" s="15">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I-P-0135</t>
        </is>
      </c>
      <c r="B5314" s="12" t="inlineStr">
        <is>
          <t>I</t>
        </is>
      </c>
      <c r="C5314" s="12" t="inlineStr">
        <is>
          <t>Modular / portable power</t>
        </is>
      </c>
      <c r="D5314" s="12" t="inlineStr">
        <is>
          <t>Motor 1 of 1, 15 kW</t>
        </is>
      </c>
      <c r="E5314" s="12" t="inlineStr"/>
      <c r="F5314" s="12" t="inlineStr">
        <is>
          <t>PCM: power control module</t>
        </is>
      </c>
      <c r="G5314" s="12" t="inlineStr"/>
      <c r="H5314" s="12" t="inlineStr">
        <is>
          <t>RICE 5 SCR + oxidation catalyst and stack</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15</v>
      </c>
      <c r="R5314" s="12" t="n">
        <v>21.2</v>
      </c>
      <c r="S5314" s="12" t="inlineStr">
        <is>
          <t>Duct bank</t>
        </is>
      </c>
      <c r="T5314" s="15" t="n">
        <v>158</v>
      </c>
      <c r="U5314" s="15" t="n">
        <v>164</v>
      </c>
      <c r="V5314" s="15">
        <f>ROUNDUP((T5314+U5314+2*'Read Me'!$B$13)*(1+'Read Me'!$B$12),-1)</f>
        <v/>
      </c>
      <c r="W5314" s="15">
        <f>V5314*N5314*O5314</f>
        <v/>
      </c>
      <c r="X5314" s="12">
        <f>IF(LEFT(I5314,2)="MV",2*N5314*IF(L5314="1/C",O5314,1),0)</f>
        <v/>
      </c>
      <c r="Y5314" s="12">
        <f>IF(OR(LEFT(K5314,4)="LVAX",LEFT(K5314,6)="MV15AX",LEFT(K5314,4)="CTAX",LEFT(K5314,2)="W|"),2*N5314*O5314,0)</f>
        <v/>
      </c>
      <c r="Z5314" s="12" t="inlineStr">
        <is>
          <t>VD 2.1 %</t>
        </is>
      </c>
      <c r="AA5314" s="12">
        <f>N5314*O5314</f>
        <v/>
      </c>
    </row>
    <row r="5315">
      <c r="A5315" s="12" t="inlineStr">
        <is>
          <t>I-P-0136</t>
        </is>
      </c>
      <c r="B5315" s="12" t="inlineStr">
        <is>
          <t>I</t>
        </is>
      </c>
      <c r="C5315" s="12" t="inlineStr">
        <is>
          <t>Modular / portable power</t>
        </is>
      </c>
      <c r="D5315" s="12" t="inlineStr">
        <is>
          <t>Area / platform lighting circuit 1 (6 fixtures)</t>
        </is>
      </c>
      <c r="E5315" s="12" t="inlineStr"/>
      <c r="F5315" s="12" t="inlineStr">
        <is>
          <t>PCM: power control module</t>
        </is>
      </c>
      <c r="G5315" s="12" t="inlineStr"/>
      <c r="H5315" s="12" t="inlineStr">
        <is>
          <t>RICE 5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3</v>
      </c>
      <c r="R5315" s="12" t="n">
        <v>5</v>
      </c>
      <c r="S5315" s="12" t="inlineStr">
        <is>
          <t>Duct bank</t>
        </is>
      </c>
      <c r="T5315" s="15" t="n">
        <v>458</v>
      </c>
      <c r="U5315" s="15" t="n">
        <v>164</v>
      </c>
      <c r="V5315" s="15">
        <f>ROUNDUP((T5315+U5315+2*'Read Me'!$B$13)*(1+'Read Me'!$B$12),-1)</f>
        <v/>
      </c>
      <c r="W5315" s="15">
        <f>V5315*N5315*O5315</f>
        <v/>
      </c>
      <c r="X5315" s="12">
        <f>IF(LEFT(I5315,2)="MV",2*N5315*IF(L5315="1/C",O5315,1),0)</f>
        <v/>
      </c>
      <c r="Y5315" s="12">
        <f>IF(OR(LEFT(K5315,4)="LVAX",LEFT(K5315,6)="MV15AX",LEFT(K5315,4)="CTAX",LEFT(K5315,2)="W|"),2*N5315*O5315,0)</f>
        <v/>
      </c>
      <c r="Z5315" s="12" t="inlineStr">
        <is>
          <t>fixture-to-fixture run included</t>
        </is>
      </c>
      <c r="AA5315" s="12">
        <f>N5315*O5315</f>
        <v/>
      </c>
    </row>
    <row r="5316">
      <c r="A5316" s="12" t="inlineStr">
        <is>
          <t>I-P-0137</t>
        </is>
      </c>
      <c r="B5316" s="12" t="inlineStr">
        <is>
          <t>I</t>
        </is>
      </c>
      <c r="C5316" s="12" t="inlineStr">
        <is>
          <t>Modular / portable power</t>
        </is>
      </c>
      <c r="D5316" s="12" t="inlineStr">
        <is>
          <t>Motor 1 of 5, 30 kW (VFD output)</t>
        </is>
      </c>
      <c r="E5316" s="12" t="inlineStr"/>
      <c r="F5316" s="12" t="inlineStr">
        <is>
          <t>PCM: power control module</t>
        </is>
      </c>
      <c r="G5316" s="12" t="inlineStr"/>
      <c r="H5316" s="12" t="inlineStr">
        <is>
          <t>RICE 5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178</v>
      </c>
      <c r="V5316" s="15">
        <f>ROUNDUP((T5316+U5316+2*'Read Me'!$B$13)*(1+'Read Me'!$B$12),-1)</f>
        <v/>
      </c>
      <c r="W5316" s="15">
        <f>V5316*N5316*O5316</f>
        <v/>
      </c>
      <c r="X5316" s="12">
        <f>IF(LEFT(I5316,2)="MV",2*N5316*IF(L5316="1/C",O5316,1),0)</f>
        <v/>
      </c>
      <c r="Y5316" s="12">
        <f>IF(OR(LEFT(K5316,4)="LVAX",LEFT(K5316,6)="MV15AX",LEFT(K5316,4)="CTAX",LEFT(K5316,2)="W|"),2*N5316*O5316,0)</f>
        <v/>
      </c>
      <c r="Z5316" s="12" t="inlineStr">
        <is>
          <t>VD 2.1 %</t>
        </is>
      </c>
      <c r="AA5316" s="12">
        <f>N5316*O5316</f>
        <v/>
      </c>
    </row>
    <row r="5317">
      <c r="A5317" s="12" t="inlineStr">
        <is>
          <t>I-P-0138</t>
        </is>
      </c>
      <c r="B5317" s="12" t="inlineStr">
        <is>
          <t>I</t>
        </is>
      </c>
      <c r="C5317" s="12" t="inlineStr">
        <is>
          <t>Modular / portable power</t>
        </is>
      </c>
      <c r="D5317" s="12" t="inlineStr">
        <is>
          <t>Motor 2 of 5, 30 kW (VFD output)</t>
        </is>
      </c>
      <c r="E5317" s="12" t="inlineStr"/>
      <c r="F5317" s="12" t="inlineStr">
        <is>
          <t>PCM: power control module</t>
        </is>
      </c>
      <c r="G5317" s="12" t="inlineStr"/>
      <c r="H5317" s="12" t="inlineStr">
        <is>
          <t>RICE 5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178</v>
      </c>
      <c r="V5317" s="15">
        <f>ROUNDUP((T5317+U5317+2*'Read Me'!$B$13)*(1+'Read Me'!$B$12),-1)</f>
        <v/>
      </c>
      <c r="W5317" s="15">
        <f>V5317*N5317*O5317</f>
        <v/>
      </c>
      <c r="X5317" s="12">
        <f>IF(LEFT(I5317,2)="MV",2*N5317*IF(L5317="1/C",O5317,1),0)</f>
        <v/>
      </c>
      <c r="Y5317" s="12">
        <f>IF(OR(LEFT(K5317,4)="LVAX",LEFT(K5317,6)="MV15AX",LEFT(K5317,4)="CTAX",LEFT(K5317,2)="W|"),2*N5317*O5317,0)</f>
        <v/>
      </c>
      <c r="Z5317" s="12" t="inlineStr">
        <is>
          <t>VD 2.1 %</t>
        </is>
      </c>
      <c r="AA5317" s="12">
        <f>N5317*O5317</f>
        <v/>
      </c>
    </row>
    <row r="5318">
      <c r="A5318" s="12" t="inlineStr">
        <is>
          <t>I-P-0139</t>
        </is>
      </c>
      <c r="B5318" s="12" t="inlineStr">
        <is>
          <t>I</t>
        </is>
      </c>
      <c r="C5318" s="12" t="inlineStr">
        <is>
          <t>Modular / portable power</t>
        </is>
      </c>
      <c r="D5318" s="12" t="inlineStr">
        <is>
          <t>Motor 3 of 5, 30 kW (VFD output)</t>
        </is>
      </c>
      <c r="E5318" s="12" t="inlineStr"/>
      <c r="F5318" s="12" t="inlineStr">
        <is>
          <t>PCM: power control module</t>
        </is>
      </c>
      <c r="G5318" s="12" t="inlineStr"/>
      <c r="H5318" s="12" t="inlineStr">
        <is>
          <t>RICE 5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178</v>
      </c>
      <c r="V5318" s="15">
        <f>ROUNDUP((T5318+U5318+2*'Read Me'!$B$13)*(1+'Read Me'!$B$12),-1)</f>
        <v/>
      </c>
      <c r="W5318" s="15">
        <f>V5318*N5318*O5318</f>
        <v/>
      </c>
      <c r="X5318" s="12">
        <f>IF(LEFT(I5318,2)="MV",2*N5318*IF(L5318="1/C",O5318,1),0)</f>
        <v/>
      </c>
      <c r="Y5318" s="12">
        <f>IF(OR(LEFT(K5318,4)="LVAX",LEFT(K5318,6)="MV15AX",LEFT(K5318,4)="CTAX",LEFT(K5318,2)="W|"),2*N5318*O5318,0)</f>
        <v/>
      </c>
      <c r="Z5318" s="12" t="inlineStr">
        <is>
          <t>VD 2.1 %</t>
        </is>
      </c>
      <c r="AA5318" s="12">
        <f>N5318*O5318</f>
        <v/>
      </c>
    </row>
    <row r="5319">
      <c r="A5319" s="12" t="inlineStr">
        <is>
          <t>I-P-0140</t>
        </is>
      </c>
      <c r="B5319" s="12" t="inlineStr">
        <is>
          <t>I</t>
        </is>
      </c>
      <c r="C5319" s="12" t="inlineStr">
        <is>
          <t>Modular / portable power</t>
        </is>
      </c>
      <c r="D5319" s="12" t="inlineStr">
        <is>
          <t>Motor 4 of 5, 30 kW (VFD output)</t>
        </is>
      </c>
      <c r="E5319" s="12" t="inlineStr"/>
      <c r="F5319" s="12" t="inlineStr">
        <is>
          <t>PCM: power control module</t>
        </is>
      </c>
      <c r="G5319" s="12" t="inlineStr"/>
      <c r="H5319" s="12" t="inlineStr">
        <is>
          <t>RICE 5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178</v>
      </c>
      <c r="V5319" s="15">
        <f>ROUNDUP((T5319+U5319+2*'Read Me'!$B$13)*(1+'Read Me'!$B$12),-1)</f>
        <v/>
      </c>
      <c r="W5319" s="15">
        <f>V5319*N5319*O5319</f>
        <v/>
      </c>
      <c r="X5319" s="12">
        <f>IF(LEFT(I5319,2)="MV",2*N5319*IF(L5319="1/C",O5319,1),0)</f>
        <v/>
      </c>
      <c r="Y5319" s="12">
        <f>IF(OR(LEFT(K5319,4)="LVAX",LEFT(K5319,6)="MV15AX",LEFT(K5319,4)="CTAX",LEFT(K5319,2)="W|"),2*N5319*O5319,0)</f>
        <v/>
      </c>
      <c r="Z5319" s="12" t="inlineStr">
        <is>
          <t>VD 2.1 %</t>
        </is>
      </c>
      <c r="AA5319" s="12">
        <f>N5319*O5319</f>
        <v/>
      </c>
    </row>
    <row r="5320">
      <c r="A5320" s="12" t="inlineStr">
        <is>
          <t>I-P-0141</t>
        </is>
      </c>
      <c r="B5320" s="12" t="inlineStr">
        <is>
          <t>I</t>
        </is>
      </c>
      <c r="C5320" s="12" t="inlineStr">
        <is>
          <t>Modular / portable power</t>
        </is>
      </c>
      <c r="D5320" s="12" t="inlineStr">
        <is>
          <t>Motor 5 of 5, 30 kW (VFD output)</t>
        </is>
      </c>
      <c r="E5320" s="12" t="inlineStr"/>
      <c r="F5320" s="12" t="inlineStr">
        <is>
          <t>PCM: power control module</t>
        </is>
      </c>
      <c r="G5320" s="12" t="inlineStr"/>
      <c r="H5320" s="12" t="inlineStr">
        <is>
          <t>RICE 5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178</v>
      </c>
      <c r="V5320" s="15">
        <f>ROUNDUP((T5320+U5320+2*'Read Me'!$B$13)*(1+'Read Me'!$B$12),-1)</f>
        <v/>
      </c>
      <c r="W5320" s="15">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I-P-0142</t>
        </is>
      </c>
      <c r="B5321" s="12" t="inlineStr">
        <is>
          <t>I</t>
        </is>
      </c>
      <c r="C5321" s="12" t="inlineStr">
        <is>
          <t>Modular / portable power</t>
        </is>
      </c>
      <c r="D5321" s="12" t="inlineStr">
        <is>
          <t>Motor 1 of 1, 15 kW</t>
        </is>
      </c>
      <c r="E5321" s="12" t="inlineStr"/>
      <c r="F5321" s="12" t="inlineStr">
        <is>
          <t>PCM: power control module</t>
        </is>
      </c>
      <c r="G5321" s="12" t="inlineStr"/>
      <c r="H5321" s="12" t="inlineStr">
        <is>
          <t>RICE 6 SCR + oxidation catalyst and stack</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15</v>
      </c>
      <c r="R5321" s="12" t="n">
        <v>21.2</v>
      </c>
      <c r="S5321" s="12" t="inlineStr">
        <is>
          <t>Duct bank</t>
        </is>
      </c>
      <c r="T5321" s="15" t="n">
        <v>113</v>
      </c>
      <c r="U5321" s="15" t="n">
        <v>153</v>
      </c>
      <c r="V5321" s="15">
        <f>ROUNDUP((T5321+U5321+2*'Read Me'!$B$13)*(1+'Read Me'!$B$12),-1)</f>
        <v/>
      </c>
      <c r="W5321" s="15">
        <f>V5321*N5321*O5321</f>
        <v/>
      </c>
      <c r="X5321" s="12">
        <f>IF(LEFT(I5321,2)="MV",2*N5321*IF(L5321="1/C",O5321,1),0)</f>
        <v/>
      </c>
      <c r="Y5321" s="12">
        <f>IF(OR(LEFT(K5321,4)="LVAX",LEFT(K5321,6)="MV15AX",LEFT(K5321,4)="CTAX",LEFT(K5321,2)="W|"),2*N5321*O5321,0)</f>
        <v/>
      </c>
      <c r="Z5321" s="12" t="inlineStr">
        <is>
          <t>VD 2.7 %</t>
        </is>
      </c>
      <c r="AA5321" s="12">
        <f>N5321*O5321</f>
        <v/>
      </c>
    </row>
    <row r="5322">
      <c r="A5322" s="12" t="inlineStr">
        <is>
          <t>I-P-0143</t>
        </is>
      </c>
      <c r="B5322" s="12" t="inlineStr">
        <is>
          <t>I</t>
        </is>
      </c>
      <c r="C5322" s="12" t="inlineStr">
        <is>
          <t>Modular / portable power</t>
        </is>
      </c>
      <c r="D5322" s="12" t="inlineStr">
        <is>
          <t>Area / platform lighting circuit 1 (6 fixtures)</t>
        </is>
      </c>
      <c r="E5322" s="12" t="inlineStr"/>
      <c r="F5322" s="12" t="inlineStr">
        <is>
          <t>PCM: power control module</t>
        </is>
      </c>
      <c r="G5322" s="12" t="inlineStr"/>
      <c r="H5322" s="12" t="inlineStr">
        <is>
          <t>RICE 6 SCR + oxidation catalyst and stack</t>
        </is>
      </c>
      <c r="I5322" s="12" t="inlineStr">
        <is>
          <t>LV 600 V</t>
        </is>
      </c>
      <c r="J5322" s="12" t="inlineStr">
        <is>
          <t>Type TC-ER 600 V 3/C Cu XHHW-2 + ground, PVC jacket</t>
        </is>
      </c>
      <c r="K5322" s="12" t="inlineStr">
        <is>
          <t>LV|3/C+G|10</t>
        </is>
      </c>
      <c r="L5322" s="12" t="inlineStr">
        <is>
          <t>3/C+G</t>
        </is>
      </c>
      <c r="M5322" s="12" t="inlineStr">
        <is>
          <t>10</t>
        </is>
      </c>
      <c r="N5322" s="12" t="n">
        <v>1</v>
      </c>
      <c r="O5322" s="12" t="n">
        <v>1</v>
      </c>
      <c r="P5322" s="12" t="n">
        <v>480</v>
      </c>
      <c r="Q5322" s="12" t="n">
        <v>3</v>
      </c>
      <c r="R5322" s="12" t="n">
        <v>5</v>
      </c>
      <c r="S5322" s="12" t="inlineStr">
        <is>
          <t>Duct bank</t>
        </is>
      </c>
      <c r="T5322" s="15" t="n">
        <v>413</v>
      </c>
      <c r="U5322" s="15" t="n">
        <v>153</v>
      </c>
      <c r="V5322" s="15">
        <f>ROUNDUP((T5322+U5322+2*'Read Me'!$B$13)*(1+'Read Me'!$B$12),-1)</f>
        <v/>
      </c>
      <c r="W5322" s="15">
        <f>V5322*N5322*O5322</f>
        <v/>
      </c>
      <c r="X5322" s="12">
        <f>IF(LEFT(I5322,2)="MV",2*N5322*IF(L5322="1/C",O5322,1),0)</f>
        <v/>
      </c>
      <c r="Y5322" s="12">
        <f>IF(OR(LEFT(K5322,4)="LVAX",LEFT(K5322,6)="MV15AX",LEFT(K5322,4)="CTAX",LEFT(K5322,2)="W|"),2*N5322*O5322,0)</f>
        <v/>
      </c>
      <c r="Z5322" s="12" t="inlineStr">
        <is>
          <t>fixture-to-fixture run included</t>
        </is>
      </c>
      <c r="AA5322" s="12">
        <f>N5322*O5322</f>
        <v/>
      </c>
    </row>
    <row r="5323">
      <c r="A5323" s="12" t="inlineStr">
        <is>
          <t>I-P-0144</t>
        </is>
      </c>
      <c r="B5323" s="12" t="inlineStr">
        <is>
          <t>I</t>
        </is>
      </c>
      <c r="C5323" s="12" t="inlineStr">
        <is>
          <t>Modular / portable power</t>
        </is>
      </c>
      <c r="D5323" s="12" t="inlineStr">
        <is>
          <t>Motor 1 of 5, 30 kW (VFD output)</t>
        </is>
      </c>
      <c r="E5323" s="12" t="inlineStr"/>
      <c r="F5323" s="12" t="inlineStr">
        <is>
          <t>PCM: power control module</t>
        </is>
      </c>
      <c r="G5323" s="12" t="inlineStr"/>
      <c r="H5323" s="12" t="inlineStr">
        <is>
          <t>RICE 6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150</v>
      </c>
      <c r="V5323" s="15">
        <f>ROUNDUP((T5323+U5323+2*'Read Me'!$B$13)*(1+'Read Me'!$B$12),-1)</f>
        <v/>
      </c>
      <c r="W5323" s="15">
        <f>V5323*N5323*O5323</f>
        <v/>
      </c>
      <c r="X5323" s="12">
        <f>IF(LEFT(I5323,2)="MV",2*N5323*IF(L5323="1/C",O5323,1),0)</f>
        <v/>
      </c>
      <c r="Y5323" s="12">
        <f>IF(OR(LEFT(K5323,4)="LVAX",LEFT(K5323,6)="MV15AX",LEFT(K5323,4)="CTAX",LEFT(K5323,2)="W|"),2*N5323*O5323,0)</f>
        <v/>
      </c>
      <c r="Z5323" s="12" t="inlineStr">
        <is>
          <t>VD 1.9 %</t>
        </is>
      </c>
      <c r="AA5323" s="12">
        <f>N5323*O5323</f>
        <v/>
      </c>
    </row>
    <row r="5324">
      <c r="A5324" s="12" t="inlineStr">
        <is>
          <t>I-P-0145</t>
        </is>
      </c>
      <c r="B5324" s="12" t="inlineStr">
        <is>
          <t>I</t>
        </is>
      </c>
      <c r="C5324" s="12" t="inlineStr">
        <is>
          <t>Modular / portable power</t>
        </is>
      </c>
      <c r="D5324" s="12" t="inlineStr">
        <is>
          <t>Motor 2 of 5, 30 kW (VFD output)</t>
        </is>
      </c>
      <c r="E5324" s="12" t="inlineStr"/>
      <c r="F5324" s="12" t="inlineStr">
        <is>
          <t>PCM: power control module</t>
        </is>
      </c>
      <c r="G5324" s="12" t="inlineStr"/>
      <c r="H5324" s="12" t="inlineStr">
        <is>
          <t>RICE 6 radiators (5)</t>
        </is>
      </c>
      <c r="I5324" s="12" t="inlineStr">
        <is>
          <t>LV 600 V</t>
        </is>
      </c>
      <c r="J5324" s="12" t="inlineStr">
        <is>
          <t>VFD cable 600 V 3/C Cu XHHW-2, 3 symmetrical grounds, overall Cu tape shield, TC-ER</t>
        </is>
      </c>
      <c r="K5324" s="12" t="inlineStr">
        <is>
          <t>VFD|3/C+3G|6</t>
        </is>
      </c>
      <c r="L5324" s="12" t="inlineStr">
        <is>
          <t>3/C+3G</t>
        </is>
      </c>
      <c r="M5324" s="12" t="inlineStr">
        <is>
          <t>6</t>
        </is>
      </c>
      <c r="N5324" s="12" t="n">
        <v>1</v>
      </c>
      <c r="O5324" s="12" t="n">
        <v>1</v>
      </c>
      <c r="P5324" s="12" t="n">
        <v>480</v>
      </c>
      <c r="Q5324" s="12" t="n">
        <v>30</v>
      </c>
      <c r="R5324" s="12" t="n">
        <v>42</v>
      </c>
      <c r="S5324" s="12" t="inlineStr">
        <is>
          <t>Tray</t>
        </is>
      </c>
      <c r="T5324" s="15" t="n">
        <v>80</v>
      </c>
      <c r="U5324" s="15" t="n">
        <v>150</v>
      </c>
      <c r="V5324" s="15">
        <f>ROUNDUP((T5324+U5324+2*'Read Me'!$B$13)*(1+'Read Me'!$B$12),-1)</f>
        <v/>
      </c>
      <c r="W5324" s="15">
        <f>V5324*N5324*O5324</f>
        <v/>
      </c>
      <c r="X5324" s="12">
        <f>IF(LEFT(I5324,2)="MV",2*N5324*IF(L5324="1/C",O5324,1),0)</f>
        <v/>
      </c>
      <c r="Y5324" s="12">
        <f>IF(OR(LEFT(K5324,4)="LVAX",LEFT(K5324,6)="MV15AX",LEFT(K5324,4)="CTAX",LEFT(K5324,2)="W|"),2*N5324*O5324,0)</f>
        <v/>
      </c>
      <c r="Z5324" s="12" t="inlineStr">
        <is>
          <t>VD 1.9 %</t>
        </is>
      </c>
      <c r="AA5324" s="12">
        <f>N5324*O5324</f>
        <v/>
      </c>
    </row>
    <row r="5325">
      <c r="A5325" s="12" t="inlineStr">
        <is>
          <t>I-P-0146</t>
        </is>
      </c>
      <c r="B5325" s="12" t="inlineStr">
        <is>
          <t>I</t>
        </is>
      </c>
      <c r="C5325" s="12" t="inlineStr">
        <is>
          <t>Modular / portable power</t>
        </is>
      </c>
      <c r="D5325" s="12" t="inlineStr">
        <is>
          <t>Motor 3 of 5, 30 kW (VFD output)</t>
        </is>
      </c>
      <c r="E5325" s="12" t="inlineStr"/>
      <c r="F5325" s="12" t="inlineStr">
        <is>
          <t>PCM: power control module</t>
        </is>
      </c>
      <c r="G5325" s="12" t="inlineStr"/>
      <c r="H5325" s="12" t="inlineStr">
        <is>
          <t>RICE 6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150</v>
      </c>
      <c r="V5325" s="15">
        <f>ROUNDUP((T5325+U5325+2*'Read Me'!$B$13)*(1+'Read Me'!$B$12),-1)</f>
        <v/>
      </c>
      <c r="W5325" s="15">
        <f>V5325*N5325*O5325</f>
        <v/>
      </c>
      <c r="X5325" s="12">
        <f>IF(LEFT(I5325,2)="MV",2*N5325*IF(L5325="1/C",O5325,1),0)</f>
        <v/>
      </c>
      <c r="Y5325" s="12">
        <f>IF(OR(LEFT(K5325,4)="LVAX",LEFT(K5325,6)="MV15AX",LEFT(K5325,4)="CTAX",LEFT(K5325,2)="W|"),2*N5325*O5325,0)</f>
        <v/>
      </c>
      <c r="Z5325" s="12" t="inlineStr">
        <is>
          <t>VD 1.9 %</t>
        </is>
      </c>
      <c r="AA5325" s="12">
        <f>N5325*O5325</f>
        <v/>
      </c>
    </row>
    <row r="5326">
      <c r="A5326" s="12" t="inlineStr">
        <is>
          <t>I-P-0147</t>
        </is>
      </c>
      <c r="B5326" s="12" t="inlineStr">
        <is>
          <t>I</t>
        </is>
      </c>
      <c r="C5326" s="12" t="inlineStr">
        <is>
          <t>Modular / portable power</t>
        </is>
      </c>
      <c r="D5326" s="12" t="inlineStr">
        <is>
          <t>Motor 4 of 5, 30 kW (VFD output)</t>
        </is>
      </c>
      <c r="E5326" s="12" t="inlineStr"/>
      <c r="F5326" s="12" t="inlineStr">
        <is>
          <t>PCM: power control module</t>
        </is>
      </c>
      <c r="G5326" s="12" t="inlineStr"/>
      <c r="H5326" s="12" t="inlineStr">
        <is>
          <t>RICE 6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150</v>
      </c>
      <c r="V5326" s="15">
        <f>ROUNDUP((T5326+U5326+2*'Read Me'!$B$13)*(1+'Read Me'!$B$12),-1)</f>
        <v/>
      </c>
      <c r="W5326" s="15">
        <f>V5326*N5326*O5326</f>
        <v/>
      </c>
      <c r="X5326" s="12">
        <f>IF(LEFT(I5326,2)="MV",2*N5326*IF(L5326="1/C",O5326,1),0)</f>
        <v/>
      </c>
      <c r="Y5326" s="12">
        <f>IF(OR(LEFT(K5326,4)="LVAX",LEFT(K5326,6)="MV15AX",LEFT(K5326,4)="CTAX",LEFT(K5326,2)="W|"),2*N5326*O5326,0)</f>
        <v/>
      </c>
      <c r="Z5326" s="12" t="inlineStr">
        <is>
          <t>VD 1.9 %</t>
        </is>
      </c>
      <c r="AA5326" s="12">
        <f>N5326*O5326</f>
        <v/>
      </c>
    </row>
    <row r="5327">
      <c r="A5327" s="12" t="inlineStr">
        <is>
          <t>I-P-0148</t>
        </is>
      </c>
      <c r="B5327" s="12" t="inlineStr">
        <is>
          <t>I</t>
        </is>
      </c>
      <c r="C5327" s="12" t="inlineStr">
        <is>
          <t>Modular / portable power</t>
        </is>
      </c>
      <c r="D5327" s="12" t="inlineStr">
        <is>
          <t>Motor 5 of 5, 30 kW (VFD output)</t>
        </is>
      </c>
      <c r="E5327" s="12" t="inlineStr"/>
      <c r="F5327" s="12" t="inlineStr">
        <is>
          <t>PCM: power control module</t>
        </is>
      </c>
      <c r="G5327" s="12" t="inlineStr"/>
      <c r="H5327" s="12" t="inlineStr">
        <is>
          <t>RICE 6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150</v>
      </c>
      <c r="V5327" s="15">
        <f>ROUNDUP((T5327+U5327+2*'Read Me'!$B$13)*(1+'Read Me'!$B$12),-1)</f>
        <v/>
      </c>
      <c r="W5327" s="15">
        <f>V5327*N5327*O5327</f>
        <v/>
      </c>
      <c r="X5327" s="12">
        <f>IF(LEFT(I5327,2)="MV",2*N5327*IF(L5327="1/C",O5327,1),0)</f>
        <v/>
      </c>
      <c r="Y5327" s="12">
        <f>IF(OR(LEFT(K5327,4)="LVAX",LEFT(K5327,6)="MV15AX",LEFT(K5327,4)="CTAX",LEFT(K5327,2)="W|"),2*N5327*O5327,0)</f>
        <v/>
      </c>
      <c r="Z5327" s="12" t="inlineStr">
        <is>
          <t>VD 1.9 %</t>
        </is>
      </c>
      <c r="AA5327" s="12">
        <f>N5327*O5327</f>
        <v/>
      </c>
    </row>
    <row r="5328">
      <c r="A5328" s="12" t="inlineStr">
        <is>
          <t>I-P-0149</t>
        </is>
      </c>
      <c r="B5328" s="12" t="inlineStr">
        <is>
          <t>I</t>
        </is>
      </c>
      <c r="C5328" s="12" t="inlineStr">
        <is>
          <t>Modular / portable power</t>
        </is>
      </c>
      <c r="D5328" s="12" t="inlineStr">
        <is>
          <t>Motor 1 of 1, 15 kW</t>
        </is>
      </c>
      <c r="E5328" s="12" t="inlineStr"/>
      <c r="F5328" s="12" t="inlineStr">
        <is>
          <t>PCM: power control module</t>
        </is>
      </c>
      <c r="G5328" s="12" t="inlineStr"/>
      <c r="H5328" s="12" t="inlineStr">
        <is>
          <t>RICE 7 SCR + oxidation catalyst and stack</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15</v>
      </c>
      <c r="R5328" s="12" t="n">
        <v>21.2</v>
      </c>
      <c r="S5328" s="12" t="inlineStr">
        <is>
          <t>Duct bank</t>
        </is>
      </c>
      <c r="T5328" s="15" t="n">
        <v>113</v>
      </c>
      <c r="U5328" s="15" t="n">
        <v>125</v>
      </c>
      <c r="V5328" s="15">
        <f>ROUNDUP((T5328+U5328+2*'Read Me'!$B$13)*(1+'Read Me'!$B$12),-1)</f>
        <v/>
      </c>
      <c r="W5328" s="15">
        <f>V5328*N5328*O5328</f>
        <v/>
      </c>
      <c r="X5328" s="12">
        <f>IF(LEFT(I5328,2)="MV",2*N5328*IF(L5328="1/C",O5328,1),0)</f>
        <v/>
      </c>
      <c r="Y5328" s="12">
        <f>IF(OR(LEFT(K5328,4)="LVAX",LEFT(K5328,6)="MV15AX",LEFT(K5328,4)="CTAX",LEFT(K5328,2)="W|"),2*N5328*O5328,0)</f>
        <v/>
      </c>
      <c r="Z5328" s="12" t="inlineStr">
        <is>
          <t>VD 2.4 %</t>
        </is>
      </c>
      <c r="AA5328" s="12">
        <f>N5328*O5328</f>
        <v/>
      </c>
    </row>
    <row r="5329">
      <c r="A5329" s="12" t="inlineStr">
        <is>
          <t>I-P-0150</t>
        </is>
      </c>
      <c r="B5329" s="12" t="inlineStr">
        <is>
          <t>I</t>
        </is>
      </c>
      <c r="C5329" s="12" t="inlineStr">
        <is>
          <t>Modular / portable power</t>
        </is>
      </c>
      <c r="D5329" s="12" t="inlineStr">
        <is>
          <t>Area / platform lighting circuit 1 (6 fixtures)</t>
        </is>
      </c>
      <c r="E5329" s="12" t="inlineStr"/>
      <c r="F5329" s="12" t="inlineStr">
        <is>
          <t>PCM: power control module</t>
        </is>
      </c>
      <c r="G5329" s="12" t="inlineStr"/>
      <c r="H5329" s="12" t="inlineStr">
        <is>
          <t>RICE 7 SCR + oxidation catalyst and stack</t>
        </is>
      </c>
      <c r="I5329" s="12" t="inlineStr">
        <is>
          <t>LV 600 V</t>
        </is>
      </c>
      <c r="J5329" s="12" t="inlineStr">
        <is>
          <t>Type TC-ER 600 V 3/C Cu XHHW-2 + ground, PVC jacket</t>
        </is>
      </c>
      <c r="K5329" s="12" t="inlineStr">
        <is>
          <t>LV|3/C+G|10</t>
        </is>
      </c>
      <c r="L5329" s="12" t="inlineStr">
        <is>
          <t>3/C+G</t>
        </is>
      </c>
      <c r="M5329" s="12" t="inlineStr">
        <is>
          <t>10</t>
        </is>
      </c>
      <c r="N5329" s="12" t="n">
        <v>1</v>
      </c>
      <c r="O5329" s="12" t="n">
        <v>1</v>
      </c>
      <c r="P5329" s="12" t="n">
        <v>480</v>
      </c>
      <c r="Q5329" s="12" t="n">
        <v>3</v>
      </c>
      <c r="R5329" s="12" t="n">
        <v>5</v>
      </c>
      <c r="S5329" s="12" t="inlineStr">
        <is>
          <t>Duct bank</t>
        </is>
      </c>
      <c r="T5329" s="15" t="n">
        <v>413</v>
      </c>
      <c r="U5329" s="15" t="n">
        <v>125</v>
      </c>
      <c r="V5329" s="15">
        <f>ROUNDUP((T5329+U5329+2*'Read Me'!$B$13)*(1+'Read Me'!$B$12),-1)</f>
        <v/>
      </c>
      <c r="W5329" s="15">
        <f>V5329*N5329*O5329</f>
        <v/>
      </c>
      <c r="X5329" s="12">
        <f>IF(LEFT(I5329,2)="MV",2*N5329*IF(L5329="1/C",O5329,1),0)</f>
        <v/>
      </c>
      <c r="Y5329" s="12">
        <f>IF(OR(LEFT(K5329,4)="LVAX",LEFT(K5329,6)="MV15AX",LEFT(K5329,4)="CTAX",LEFT(K5329,2)="W|"),2*N5329*O5329,0)</f>
        <v/>
      </c>
      <c r="Z5329" s="12" t="inlineStr">
        <is>
          <t>fixture-to-fixture run included</t>
        </is>
      </c>
      <c r="AA5329" s="12">
        <f>N5329*O5329</f>
        <v/>
      </c>
    </row>
    <row r="5330">
      <c r="A5330" s="12" t="inlineStr">
        <is>
          <t>I-P-0151</t>
        </is>
      </c>
      <c r="B5330" s="12" t="inlineStr">
        <is>
          <t>I</t>
        </is>
      </c>
      <c r="C5330" s="12" t="inlineStr">
        <is>
          <t>Modular / portable power</t>
        </is>
      </c>
      <c r="D5330" s="12" t="inlineStr">
        <is>
          <t>Motor 1 of 5, 30 kW (VFD output)</t>
        </is>
      </c>
      <c r="E5330" s="12" t="inlineStr"/>
      <c r="F5330" s="12" t="inlineStr">
        <is>
          <t>PCM: power control module</t>
        </is>
      </c>
      <c r="G5330" s="12" t="inlineStr"/>
      <c r="H5330" s="12" t="inlineStr">
        <is>
          <t>RICE 7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122</v>
      </c>
      <c r="V5330" s="15">
        <f>ROUNDUP((T5330+U5330+2*'Read Me'!$B$13)*(1+'Read Me'!$B$12),-1)</f>
        <v/>
      </c>
      <c r="W5330" s="15">
        <f>V5330*N5330*O5330</f>
        <v/>
      </c>
      <c r="X5330" s="12">
        <f>IF(LEFT(I5330,2)="MV",2*N5330*IF(L5330="1/C",O5330,1),0)</f>
        <v/>
      </c>
      <c r="Y5330" s="12">
        <f>IF(OR(LEFT(K5330,4)="LVAX",LEFT(K5330,6)="MV15AX",LEFT(K5330,4)="CTAX",LEFT(K5330,2)="W|"),2*N5330*O5330,0)</f>
        <v/>
      </c>
      <c r="Z5330" s="12" t="inlineStr">
        <is>
          <t>VD 1.7 %</t>
        </is>
      </c>
      <c r="AA5330" s="12">
        <f>N5330*O5330</f>
        <v/>
      </c>
    </row>
    <row r="5331">
      <c r="A5331" s="12" t="inlineStr">
        <is>
          <t>I-P-0152</t>
        </is>
      </c>
      <c r="B5331" s="12" t="inlineStr">
        <is>
          <t>I</t>
        </is>
      </c>
      <c r="C5331" s="12" t="inlineStr">
        <is>
          <t>Modular / portable power</t>
        </is>
      </c>
      <c r="D5331" s="12" t="inlineStr">
        <is>
          <t>Motor 2 of 5, 30 kW (VFD output)</t>
        </is>
      </c>
      <c r="E5331" s="12" t="inlineStr"/>
      <c r="F5331" s="12" t="inlineStr">
        <is>
          <t>PCM: power control module</t>
        </is>
      </c>
      <c r="G5331" s="12" t="inlineStr"/>
      <c r="H5331" s="12" t="inlineStr">
        <is>
          <t>RICE 7 radiators (5)</t>
        </is>
      </c>
      <c r="I5331" s="12" t="inlineStr">
        <is>
          <t>LV 600 V</t>
        </is>
      </c>
      <c r="J5331" s="12" t="inlineStr">
        <is>
          <t>VFD cable 600 V 3/C Cu XHHW-2, 3 symmetrical grounds, overall Cu tape shield, TC-ER</t>
        </is>
      </c>
      <c r="K5331" s="12" t="inlineStr">
        <is>
          <t>VFD|3/C+3G|6</t>
        </is>
      </c>
      <c r="L5331" s="12" t="inlineStr">
        <is>
          <t>3/C+3G</t>
        </is>
      </c>
      <c r="M5331" s="12" t="inlineStr">
        <is>
          <t>6</t>
        </is>
      </c>
      <c r="N5331" s="12" t="n">
        <v>1</v>
      </c>
      <c r="O5331" s="12" t="n">
        <v>1</v>
      </c>
      <c r="P5331" s="12" t="n">
        <v>480</v>
      </c>
      <c r="Q5331" s="12" t="n">
        <v>30</v>
      </c>
      <c r="R5331" s="12" t="n">
        <v>42</v>
      </c>
      <c r="S5331" s="12" t="inlineStr">
        <is>
          <t>Tray</t>
        </is>
      </c>
      <c r="T5331" s="15" t="n">
        <v>80</v>
      </c>
      <c r="U5331" s="15" t="n">
        <v>122</v>
      </c>
      <c r="V5331" s="15">
        <f>ROUNDUP((T5331+U5331+2*'Read Me'!$B$13)*(1+'Read Me'!$B$12),-1)</f>
        <v/>
      </c>
      <c r="W5331" s="15">
        <f>V5331*N5331*O5331</f>
        <v/>
      </c>
      <c r="X5331" s="12">
        <f>IF(LEFT(I5331,2)="MV",2*N5331*IF(L5331="1/C",O5331,1),0)</f>
        <v/>
      </c>
      <c r="Y5331" s="12">
        <f>IF(OR(LEFT(K5331,4)="LVAX",LEFT(K5331,6)="MV15AX",LEFT(K5331,4)="CTAX",LEFT(K5331,2)="W|"),2*N5331*O5331,0)</f>
        <v/>
      </c>
      <c r="Z5331" s="12" t="inlineStr">
        <is>
          <t>VD 1.7 %</t>
        </is>
      </c>
      <c r="AA5331" s="12">
        <f>N5331*O5331</f>
        <v/>
      </c>
    </row>
    <row r="5332">
      <c r="A5332" s="12" t="inlineStr">
        <is>
          <t>I-P-0153</t>
        </is>
      </c>
      <c r="B5332" s="12" t="inlineStr">
        <is>
          <t>I</t>
        </is>
      </c>
      <c r="C5332" s="12" t="inlineStr">
        <is>
          <t>Modular / portable power</t>
        </is>
      </c>
      <c r="D5332" s="12" t="inlineStr">
        <is>
          <t>Motor 3 of 5, 30 kW (VFD output)</t>
        </is>
      </c>
      <c r="E5332" s="12" t="inlineStr"/>
      <c r="F5332" s="12" t="inlineStr">
        <is>
          <t>PCM: power control module</t>
        </is>
      </c>
      <c r="G5332" s="12" t="inlineStr"/>
      <c r="H5332" s="12" t="inlineStr">
        <is>
          <t>RICE 7 radiators (5)</t>
        </is>
      </c>
      <c r="I5332" s="12" t="inlineStr">
        <is>
          <t>LV 600 V</t>
        </is>
      </c>
      <c r="J5332" s="12" t="inlineStr">
        <is>
          <t>VFD cable 600 V 3/C Cu XHHW-2, 3 symmetrical grounds, overall Cu tape shield, TC-ER</t>
        </is>
      </c>
      <c r="K5332" s="12" t="inlineStr">
        <is>
          <t>VFD|3/C+3G|6</t>
        </is>
      </c>
      <c r="L5332" s="12" t="inlineStr">
        <is>
          <t>3/C+3G</t>
        </is>
      </c>
      <c r="M5332" s="12" t="inlineStr">
        <is>
          <t>6</t>
        </is>
      </c>
      <c r="N5332" s="12" t="n">
        <v>1</v>
      </c>
      <c r="O5332" s="12" t="n">
        <v>1</v>
      </c>
      <c r="P5332" s="12" t="n">
        <v>480</v>
      </c>
      <c r="Q5332" s="12" t="n">
        <v>30</v>
      </c>
      <c r="R5332" s="12" t="n">
        <v>42</v>
      </c>
      <c r="S5332" s="12" t="inlineStr">
        <is>
          <t>Tray</t>
        </is>
      </c>
      <c r="T5332" s="15" t="n">
        <v>80</v>
      </c>
      <c r="U5332" s="15" t="n">
        <v>122</v>
      </c>
      <c r="V5332" s="15">
        <f>ROUNDUP((T5332+U5332+2*'Read Me'!$B$13)*(1+'Read Me'!$B$12),-1)</f>
        <v/>
      </c>
      <c r="W5332" s="15">
        <f>V5332*N5332*O5332</f>
        <v/>
      </c>
      <c r="X5332" s="12">
        <f>IF(LEFT(I5332,2)="MV",2*N5332*IF(L5332="1/C",O5332,1),0)</f>
        <v/>
      </c>
      <c r="Y5332" s="12">
        <f>IF(OR(LEFT(K5332,4)="LVAX",LEFT(K5332,6)="MV15AX",LEFT(K5332,4)="CTAX",LEFT(K5332,2)="W|"),2*N5332*O5332,0)</f>
        <v/>
      </c>
      <c r="Z5332" s="12" t="inlineStr">
        <is>
          <t>VD 1.7 %</t>
        </is>
      </c>
      <c r="AA5332" s="12">
        <f>N5332*O5332</f>
        <v/>
      </c>
    </row>
    <row r="5333">
      <c r="A5333" s="12" t="inlineStr">
        <is>
          <t>I-P-0154</t>
        </is>
      </c>
      <c r="B5333" s="12" t="inlineStr">
        <is>
          <t>I</t>
        </is>
      </c>
      <c r="C5333" s="12" t="inlineStr">
        <is>
          <t>Modular / portable power</t>
        </is>
      </c>
      <c r="D5333" s="12" t="inlineStr">
        <is>
          <t>Motor 4 of 5, 30 kW (VFD output)</t>
        </is>
      </c>
      <c r="E5333" s="12" t="inlineStr"/>
      <c r="F5333" s="12" t="inlineStr">
        <is>
          <t>PCM: power control module</t>
        </is>
      </c>
      <c r="G5333" s="12" t="inlineStr"/>
      <c r="H5333" s="12" t="inlineStr">
        <is>
          <t>RICE 7 radiators (5)</t>
        </is>
      </c>
      <c r="I5333" s="12" t="inlineStr">
        <is>
          <t>LV 600 V</t>
        </is>
      </c>
      <c r="J5333" s="12" t="inlineStr">
        <is>
          <t>VFD cable 600 V 3/C Cu XHHW-2, 3 symmetrical grounds, overall Cu tape shield, TC-ER</t>
        </is>
      </c>
      <c r="K5333" s="12" t="inlineStr">
        <is>
          <t>VFD|3/C+3G|6</t>
        </is>
      </c>
      <c r="L5333" s="12" t="inlineStr">
        <is>
          <t>3/C+3G</t>
        </is>
      </c>
      <c r="M5333" s="12" t="inlineStr">
        <is>
          <t>6</t>
        </is>
      </c>
      <c r="N5333" s="12" t="n">
        <v>1</v>
      </c>
      <c r="O5333" s="12" t="n">
        <v>1</v>
      </c>
      <c r="P5333" s="12" t="n">
        <v>480</v>
      </c>
      <c r="Q5333" s="12" t="n">
        <v>30</v>
      </c>
      <c r="R5333" s="12" t="n">
        <v>42</v>
      </c>
      <c r="S5333" s="12" t="inlineStr">
        <is>
          <t>Tray</t>
        </is>
      </c>
      <c r="T5333" s="15" t="n">
        <v>80</v>
      </c>
      <c r="U5333" s="15" t="n">
        <v>122</v>
      </c>
      <c r="V5333" s="15">
        <f>ROUNDUP((T5333+U5333+2*'Read Me'!$B$13)*(1+'Read Me'!$B$12),-1)</f>
        <v/>
      </c>
      <c r="W5333" s="15">
        <f>V5333*N5333*O5333</f>
        <v/>
      </c>
      <c r="X5333" s="12">
        <f>IF(LEFT(I5333,2)="MV",2*N5333*IF(L5333="1/C",O5333,1),0)</f>
        <v/>
      </c>
      <c r="Y5333" s="12">
        <f>IF(OR(LEFT(K5333,4)="LVAX",LEFT(K5333,6)="MV15AX",LEFT(K5333,4)="CTAX",LEFT(K5333,2)="W|"),2*N5333*O5333,0)</f>
        <v/>
      </c>
      <c r="Z5333" s="12" t="inlineStr">
        <is>
          <t>VD 1.7 %</t>
        </is>
      </c>
      <c r="AA5333" s="12">
        <f>N5333*O5333</f>
        <v/>
      </c>
    </row>
    <row r="5334">
      <c r="A5334" s="12" t="inlineStr">
        <is>
          <t>I-P-0155</t>
        </is>
      </c>
      <c r="B5334" s="12" t="inlineStr">
        <is>
          <t>I</t>
        </is>
      </c>
      <c r="C5334" s="12" t="inlineStr">
        <is>
          <t>Modular / portable power</t>
        </is>
      </c>
      <c r="D5334" s="12" t="inlineStr">
        <is>
          <t>Motor 5 of 5, 30 kW (VFD output)</t>
        </is>
      </c>
      <c r="E5334" s="12" t="inlineStr"/>
      <c r="F5334" s="12" t="inlineStr">
        <is>
          <t>PCM: power control module</t>
        </is>
      </c>
      <c r="G5334" s="12" t="inlineStr"/>
      <c r="H5334" s="12" t="inlineStr">
        <is>
          <t>RICE 7 radiators (5)</t>
        </is>
      </c>
      <c r="I5334" s="12" t="inlineStr">
        <is>
          <t>LV 600 V</t>
        </is>
      </c>
      <c r="J5334" s="12" t="inlineStr">
        <is>
          <t>VFD cable 600 V 3/C Cu XHHW-2, 3 symmetrical grounds, overall Cu tape shield, TC-ER</t>
        </is>
      </c>
      <c r="K5334" s="12" t="inlineStr">
        <is>
          <t>VFD|3/C+3G|6</t>
        </is>
      </c>
      <c r="L5334" s="12" t="inlineStr">
        <is>
          <t>3/C+3G</t>
        </is>
      </c>
      <c r="M5334" s="12" t="inlineStr">
        <is>
          <t>6</t>
        </is>
      </c>
      <c r="N5334" s="12" t="n">
        <v>1</v>
      </c>
      <c r="O5334" s="12" t="n">
        <v>1</v>
      </c>
      <c r="P5334" s="12" t="n">
        <v>480</v>
      </c>
      <c r="Q5334" s="12" t="n">
        <v>30</v>
      </c>
      <c r="R5334" s="12" t="n">
        <v>42</v>
      </c>
      <c r="S5334" s="12" t="inlineStr">
        <is>
          <t>Tray</t>
        </is>
      </c>
      <c r="T5334" s="15" t="n">
        <v>80</v>
      </c>
      <c r="U5334" s="15" t="n">
        <v>122</v>
      </c>
      <c r="V5334" s="15">
        <f>ROUNDUP((T5334+U5334+2*'Read Me'!$B$13)*(1+'Read Me'!$B$12),-1)</f>
        <v/>
      </c>
      <c r="W5334" s="15">
        <f>V5334*N5334*O5334</f>
        <v/>
      </c>
      <c r="X5334" s="12">
        <f>IF(LEFT(I5334,2)="MV",2*N5334*IF(L5334="1/C",O5334,1),0)</f>
        <v/>
      </c>
      <c r="Y5334" s="12">
        <f>IF(OR(LEFT(K5334,4)="LVAX",LEFT(K5334,6)="MV15AX",LEFT(K5334,4)="CTAX",LEFT(K5334,2)="W|"),2*N5334*O5334,0)</f>
        <v/>
      </c>
      <c r="Z5334" s="12" t="inlineStr">
        <is>
          <t>VD 1.7 %</t>
        </is>
      </c>
      <c r="AA5334" s="12">
        <f>N5334*O5334</f>
        <v/>
      </c>
    </row>
    <row r="5335">
      <c r="A5335" s="12" t="inlineStr">
        <is>
          <t>I-P-0156</t>
        </is>
      </c>
      <c r="B5335" s="12" t="inlineStr">
        <is>
          <t>I</t>
        </is>
      </c>
      <c r="C5335" s="12" t="inlineStr">
        <is>
          <t>Modular / portable power</t>
        </is>
      </c>
      <c r="D5335" s="12" t="inlineStr">
        <is>
          <t>Motor 1 of 1, 15 kW</t>
        </is>
      </c>
      <c r="E5335" s="12" t="inlineStr"/>
      <c r="F5335" s="12" t="inlineStr">
        <is>
          <t>PCM: power control module</t>
        </is>
      </c>
      <c r="G5335" s="12" t="inlineStr"/>
      <c r="H5335" s="12" t="inlineStr">
        <is>
          <t>RICE 8 SCR + oxidation catalyst and stack</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15</v>
      </c>
      <c r="R5335" s="12" t="n">
        <v>21.2</v>
      </c>
      <c r="S5335" s="12" t="inlineStr">
        <is>
          <t>Duct bank</t>
        </is>
      </c>
      <c r="T5335" s="15" t="n">
        <v>113</v>
      </c>
      <c r="U5335" s="15" t="n">
        <v>97</v>
      </c>
      <c r="V5335" s="15">
        <f>ROUNDUP((T5335+U5335+2*'Read Me'!$B$13)*(1+'Read Me'!$B$12),-1)</f>
        <v/>
      </c>
      <c r="W5335" s="15">
        <f>V5335*N5335*O5335</f>
        <v/>
      </c>
      <c r="X5335" s="12">
        <f>IF(LEFT(I5335,2)="MV",2*N5335*IF(L5335="1/C",O5335,1),0)</f>
        <v/>
      </c>
      <c r="Y5335" s="12">
        <f>IF(OR(LEFT(K5335,4)="LVAX",LEFT(K5335,6)="MV15AX",LEFT(K5335,4)="CTAX",LEFT(K5335,2)="W|"),2*N5335*O5335,0)</f>
        <v/>
      </c>
      <c r="Z5335" s="12" t="inlineStr">
        <is>
          <t>VD 2.1 %</t>
        </is>
      </c>
      <c r="AA5335" s="12">
        <f>N5335*O5335</f>
        <v/>
      </c>
    </row>
    <row r="5336">
      <c r="A5336" s="12" t="inlineStr">
        <is>
          <t>I-P-0157</t>
        </is>
      </c>
      <c r="B5336" s="12" t="inlineStr">
        <is>
          <t>I</t>
        </is>
      </c>
      <c r="C5336" s="12" t="inlineStr">
        <is>
          <t>Modular / portable power</t>
        </is>
      </c>
      <c r="D5336" s="12" t="inlineStr">
        <is>
          <t>Area / platform lighting circuit 1 (6 fixtures)</t>
        </is>
      </c>
      <c r="E5336" s="12" t="inlineStr"/>
      <c r="F5336" s="12" t="inlineStr">
        <is>
          <t>PCM: power control module</t>
        </is>
      </c>
      <c r="G5336" s="12" t="inlineStr"/>
      <c r="H5336" s="12" t="inlineStr">
        <is>
          <t>RICE 8 SCR + oxidation catalyst and stack</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3</v>
      </c>
      <c r="R5336" s="12" t="n">
        <v>5</v>
      </c>
      <c r="S5336" s="12" t="inlineStr">
        <is>
          <t>Duct bank</t>
        </is>
      </c>
      <c r="T5336" s="15" t="n">
        <v>413</v>
      </c>
      <c r="U5336" s="15" t="n">
        <v>97</v>
      </c>
      <c r="V5336" s="15">
        <f>ROUNDUP((T5336+U5336+2*'Read Me'!$B$13)*(1+'Read Me'!$B$12),-1)</f>
        <v/>
      </c>
      <c r="W5336" s="15">
        <f>V5336*N5336*O5336</f>
        <v/>
      </c>
      <c r="X5336" s="12">
        <f>IF(LEFT(I5336,2)="MV",2*N5336*IF(L5336="1/C",O5336,1),0)</f>
        <v/>
      </c>
      <c r="Y5336" s="12">
        <f>IF(OR(LEFT(K5336,4)="LVAX",LEFT(K5336,6)="MV15AX",LEFT(K5336,4)="CTAX",LEFT(K5336,2)="W|"),2*N5336*O5336,0)</f>
        <v/>
      </c>
      <c r="Z5336" s="12" t="inlineStr">
        <is>
          <t>fixture-to-fixture run included</t>
        </is>
      </c>
      <c r="AA5336" s="12">
        <f>N5336*O5336</f>
        <v/>
      </c>
    </row>
    <row r="5337">
      <c r="A5337" s="12" t="inlineStr">
        <is>
          <t>I-P-0158</t>
        </is>
      </c>
      <c r="B5337" s="12" t="inlineStr">
        <is>
          <t>I</t>
        </is>
      </c>
      <c r="C5337" s="12" t="inlineStr">
        <is>
          <t>Modular / portable power</t>
        </is>
      </c>
      <c r="D5337" s="12" t="inlineStr">
        <is>
          <t>Motor 1 of 5, 30 kW (VFD output)</t>
        </is>
      </c>
      <c r="E5337" s="12" t="inlineStr"/>
      <c r="F5337" s="12" t="inlineStr">
        <is>
          <t>PCM: power control module</t>
        </is>
      </c>
      <c r="G5337" s="12" t="inlineStr"/>
      <c r="H5337" s="12" t="inlineStr">
        <is>
          <t>RICE 8 radiators (5)</t>
        </is>
      </c>
      <c r="I5337" s="12" t="inlineStr">
        <is>
          <t>LV 600 V</t>
        </is>
      </c>
      <c r="J5337" s="12" t="inlineStr">
        <is>
          <t>VFD cable 600 V 3/C Cu XHHW-2, 3 symmetrical grounds, overall Cu tape shield, TC-ER</t>
        </is>
      </c>
      <c r="K5337" s="12" t="inlineStr">
        <is>
          <t>VFD|3/C+3G|6</t>
        </is>
      </c>
      <c r="L5337" s="12" t="inlineStr">
        <is>
          <t>3/C+3G</t>
        </is>
      </c>
      <c r="M5337" s="12" t="inlineStr">
        <is>
          <t>6</t>
        </is>
      </c>
      <c r="N5337" s="12" t="n">
        <v>1</v>
      </c>
      <c r="O5337" s="12" t="n">
        <v>1</v>
      </c>
      <c r="P5337" s="12" t="n">
        <v>480</v>
      </c>
      <c r="Q5337" s="12" t="n">
        <v>30</v>
      </c>
      <c r="R5337" s="12" t="n">
        <v>42</v>
      </c>
      <c r="S5337" s="12" t="inlineStr">
        <is>
          <t>Tray</t>
        </is>
      </c>
      <c r="T5337" s="15" t="n">
        <v>80</v>
      </c>
      <c r="U5337" s="15" t="n">
        <v>94</v>
      </c>
      <c r="V5337" s="15">
        <f>ROUNDUP((T5337+U5337+2*'Read Me'!$B$13)*(1+'Read Me'!$B$12),-1)</f>
        <v/>
      </c>
      <c r="W5337" s="15">
        <f>V5337*N5337*O5337</f>
        <v/>
      </c>
      <c r="X5337" s="12">
        <f>IF(LEFT(I5337,2)="MV",2*N5337*IF(L5337="1/C",O5337,1),0)</f>
        <v/>
      </c>
      <c r="Y5337" s="12">
        <f>IF(OR(LEFT(K5337,4)="LVAX",LEFT(K5337,6)="MV15AX",LEFT(K5337,4)="CTAX",LEFT(K5337,2)="W|"),2*N5337*O5337,0)</f>
        <v/>
      </c>
      <c r="Z5337" s="12" t="inlineStr">
        <is>
          <t>VD 1.4 %</t>
        </is>
      </c>
      <c r="AA5337" s="12">
        <f>N5337*O5337</f>
        <v/>
      </c>
    </row>
    <row r="5338">
      <c r="A5338" s="12" t="inlineStr">
        <is>
          <t>I-P-0159</t>
        </is>
      </c>
      <c r="B5338" s="12" t="inlineStr">
        <is>
          <t>I</t>
        </is>
      </c>
      <c r="C5338" s="12" t="inlineStr">
        <is>
          <t>Modular / portable power</t>
        </is>
      </c>
      <c r="D5338" s="12" t="inlineStr">
        <is>
          <t>Motor 2 of 5, 30 kW (VFD output)</t>
        </is>
      </c>
      <c r="E5338" s="12" t="inlineStr"/>
      <c r="F5338" s="12" t="inlineStr">
        <is>
          <t>PCM: power control module</t>
        </is>
      </c>
      <c r="G5338" s="12" t="inlineStr"/>
      <c r="H5338" s="12" t="inlineStr">
        <is>
          <t>RICE 8 radiators (5)</t>
        </is>
      </c>
      <c r="I5338" s="12" t="inlineStr">
        <is>
          <t>LV 600 V</t>
        </is>
      </c>
      <c r="J5338" s="12" t="inlineStr">
        <is>
          <t>VFD cable 600 V 3/C Cu XHHW-2, 3 symmetrical grounds, overall Cu tape shield, TC-ER</t>
        </is>
      </c>
      <c r="K5338" s="12" t="inlineStr">
        <is>
          <t>VFD|3/C+3G|6</t>
        </is>
      </c>
      <c r="L5338" s="12" t="inlineStr">
        <is>
          <t>3/C+3G</t>
        </is>
      </c>
      <c r="M5338" s="12" t="inlineStr">
        <is>
          <t>6</t>
        </is>
      </c>
      <c r="N5338" s="12" t="n">
        <v>1</v>
      </c>
      <c r="O5338" s="12" t="n">
        <v>1</v>
      </c>
      <c r="P5338" s="12" t="n">
        <v>480</v>
      </c>
      <c r="Q5338" s="12" t="n">
        <v>30</v>
      </c>
      <c r="R5338" s="12" t="n">
        <v>42</v>
      </c>
      <c r="S5338" s="12" t="inlineStr">
        <is>
          <t>Tray</t>
        </is>
      </c>
      <c r="T5338" s="15" t="n">
        <v>80</v>
      </c>
      <c r="U5338" s="15" t="n">
        <v>94</v>
      </c>
      <c r="V5338" s="15">
        <f>ROUNDUP((T5338+U5338+2*'Read Me'!$B$13)*(1+'Read Me'!$B$12),-1)</f>
        <v/>
      </c>
      <c r="W5338" s="15">
        <f>V5338*N5338*O5338</f>
        <v/>
      </c>
      <c r="X5338" s="12">
        <f>IF(LEFT(I5338,2)="MV",2*N5338*IF(L5338="1/C",O5338,1),0)</f>
        <v/>
      </c>
      <c r="Y5338" s="12">
        <f>IF(OR(LEFT(K5338,4)="LVAX",LEFT(K5338,6)="MV15AX",LEFT(K5338,4)="CTAX",LEFT(K5338,2)="W|"),2*N5338*O5338,0)</f>
        <v/>
      </c>
      <c r="Z5338" s="12" t="inlineStr">
        <is>
          <t>VD 1.4 %</t>
        </is>
      </c>
      <c r="AA5338" s="12">
        <f>N5338*O5338</f>
        <v/>
      </c>
    </row>
    <row r="5339">
      <c r="A5339" s="12" t="inlineStr">
        <is>
          <t>I-P-0160</t>
        </is>
      </c>
      <c r="B5339" s="12" t="inlineStr">
        <is>
          <t>I</t>
        </is>
      </c>
      <c r="C5339" s="12" t="inlineStr">
        <is>
          <t>Modular / portable power</t>
        </is>
      </c>
      <c r="D5339" s="12" t="inlineStr">
        <is>
          <t>Motor 3 of 5, 30 kW (VFD output)</t>
        </is>
      </c>
      <c r="E5339" s="12" t="inlineStr"/>
      <c r="F5339" s="12" t="inlineStr">
        <is>
          <t>PCM: power control module</t>
        </is>
      </c>
      <c r="G5339" s="12" t="inlineStr"/>
      <c r="H5339" s="12" t="inlineStr">
        <is>
          <t>RICE 8 radiators (5)</t>
        </is>
      </c>
      <c r="I5339" s="12" t="inlineStr">
        <is>
          <t>LV 600 V</t>
        </is>
      </c>
      <c r="J5339" s="12" t="inlineStr">
        <is>
          <t>VFD cable 600 V 3/C Cu XHHW-2, 3 symmetrical grounds, overall Cu tape shield, TC-ER</t>
        </is>
      </c>
      <c r="K5339" s="12" t="inlineStr">
        <is>
          <t>VFD|3/C+3G|6</t>
        </is>
      </c>
      <c r="L5339" s="12" t="inlineStr">
        <is>
          <t>3/C+3G</t>
        </is>
      </c>
      <c r="M5339" s="12" t="inlineStr">
        <is>
          <t>6</t>
        </is>
      </c>
      <c r="N5339" s="12" t="n">
        <v>1</v>
      </c>
      <c r="O5339" s="12" t="n">
        <v>1</v>
      </c>
      <c r="P5339" s="12" t="n">
        <v>480</v>
      </c>
      <c r="Q5339" s="12" t="n">
        <v>30</v>
      </c>
      <c r="R5339" s="12" t="n">
        <v>42</v>
      </c>
      <c r="S5339" s="12" t="inlineStr">
        <is>
          <t>Tray</t>
        </is>
      </c>
      <c r="T5339" s="15" t="n">
        <v>80</v>
      </c>
      <c r="U5339" s="15" t="n">
        <v>94</v>
      </c>
      <c r="V5339" s="15">
        <f>ROUNDUP((T5339+U5339+2*'Read Me'!$B$13)*(1+'Read Me'!$B$12),-1)</f>
        <v/>
      </c>
      <c r="W5339" s="15">
        <f>V5339*N5339*O5339</f>
        <v/>
      </c>
      <c r="X5339" s="12">
        <f>IF(LEFT(I5339,2)="MV",2*N5339*IF(L5339="1/C",O5339,1),0)</f>
        <v/>
      </c>
      <c r="Y5339" s="12">
        <f>IF(OR(LEFT(K5339,4)="LVAX",LEFT(K5339,6)="MV15AX",LEFT(K5339,4)="CTAX",LEFT(K5339,2)="W|"),2*N5339*O5339,0)</f>
        <v/>
      </c>
      <c r="Z5339" s="12" t="inlineStr">
        <is>
          <t>VD 1.4 %</t>
        </is>
      </c>
      <c r="AA5339" s="12">
        <f>N5339*O5339</f>
        <v/>
      </c>
    </row>
    <row r="5340">
      <c r="A5340" s="12" t="inlineStr">
        <is>
          <t>I-P-0161</t>
        </is>
      </c>
      <c r="B5340" s="12" t="inlineStr">
        <is>
          <t>I</t>
        </is>
      </c>
      <c r="C5340" s="12" t="inlineStr">
        <is>
          <t>Modular / portable power</t>
        </is>
      </c>
      <c r="D5340" s="12" t="inlineStr">
        <is>
          <t>Motor 4 of 5, 30 kW (VFD output)</t>
        </is>
      </c>
      <c r="E5340" s="12" t="inlineStr"/>
      <c r="F5340" s="12" t="inlineStr">
        <is>
          <t>PCM: power control module</t>
        </is>
      </c>
      <c r="G5340" s="12" t="inlineStr"/>
      <c r="H5340" s="12" t="inlineStr">
        <is>
          <t>RICE 8 radiators (5)</t>
        </is>
      </c>
      <c r="I5340" s="12" t="inlineStr">
        <is>
          <t>LV 600 V</t>
        </is>
      </c>
      <c r="J5340" s="12" t="inlineStr">
        <is>
          <t>VFD cable 600 V 3/C Cu XHHW-2, 3 symmetrical grounds, overall Cu tape shield, TC-ER</t>
        </is>
      </c>
      <c r="K5340" s="12" t="inlineStr">
        <is>
          <t>VFD|3/C+3G|6</t>
        </is>
      </c>
      <c r="L5340" s="12" t="inlineStr">
        <is>
          <t>3/C+3G</t>
        </is>
      </c>
      <c r="M5340" s="12" t="inlineStr">
        <is>
          <t>6</t>
        </is>
      </c>
      <c r="N5340" s="12" t="n">
        <v>1</v>
      </c>
      <c r="O5340" s="12" t="n">
        <v>1</v>
      </c>
      <c r="P5340" s="12" t="n">
        <v>480</v>
      </c>
      <c r="Q5340" s="12" t="n">
        <v>30</v>
      </c>
      <c r="R5340" s="12" t="n">
        <v>42</v>
      </c>
      <c r="S5340" s="12" t="inlineStr">
        <is>
          <t>Tray</t>
        </is>
      </c>
      <c r="T5340" s="15" t="n">
        <v>80</v>
      </c>
      <c r="U5340" s="15" t="n">
        <v>94</v>
      </c>
      <c r="V5340" s="15">
        <f>ROUNDUP((T5340+U5340+2*'Read Me'!$B$13)*(1+'Read Me'!$B$12),-1)</f>
        <v/>
      </c>
      <c r="W5340" s="15">
        <f>V5340*N5340*O5340</f>
        <v/>
      </c>
      <c r="X5340" s="12">
        <f>IF(LEFT(I5340,2)="MV",2*N5340*IF(L5340="1/C",O5340,1),0)</f>
        <v/>
      </c>
      <c r="Y5340" s="12">
        <f>IF(OR(LEFT(K5340,4)="LVAX",LEFT(K5340,6)="MV15AX",LEFT(K5340,4)="CTAX",LEFT(K5340,2)="W|"),2*N5340*O5340,0)</f>
        <v/>
      </c>
      <c r="Z5340" s="12" t="inlineStr">
        <is>
          <t>VD 1.4 %</t>
        </is>
      </c>
      <c r="AA5340" s="12">
        <f>N5340*O5340</f>
        <v/>
      </c>
    </row>
    <row r="5341">
      <c r="A5341" s="12" t="inlineStr">
        <is>
          <t>I-P-0162</t>
        </is>
      </c>
      <c r="B5341" s="12" t="inlineStr">
        <is>
          <t>I</t>
        </is>
      </c>
      <c r="C5341" s="12" t="inlineStr">
        <is>
          <t>Modular / portable power</t>
        </is>
      </c>
      <c r="D5341" s="12" t="inlineStr">
        <is>
          <t>Motor 5 of 5, 30 kW (VFD output)</t>
        </is>
      </c>
      <c r="E5341" s="12" t="inlineStr"/>
      <c r="F5341" s="12" t="inlineStr">
        <is>
          <t>PCM: power control module</t>
        </is>
      </c>
      <c r="G5341" s="12" t="inlineStr"/>
      <c r="H5341" s="12" t="inlineStr">
        <is>
          <t>RICE 8 radiators (5)</t>
        </is>
      </c>
      <c r="I5341" s="12" t="inlineStr">
        <is>
          <t>LV 600 V</t>
        </is>
      </c>
      <c r="J5341" s="12" t="inlineStr">
        <is>
          <t>VFD cable 600 V 3/C Cu XHHW-2, 3 symmetrical grounds, overall Cu tape shield, TC-ER</t>
        </is>
      </c>
      <c r="K5341" s="12" t="inlineStr">
        <is>
          <t>VFD|3/C+3G|6</t>
        </is>
      </c>
      <c r="L5341" s="12" t="inlineStr">
        <is>
          <t>3/C+3G</t>
        </is>
      </c>
      <c r="M5341" s="12" t="inlineStr">
        <is>
          <t>6</t>
        </is>
      </c>
      <c r="N5341" s="12" t="n">
        <v>1</v>
      </c>
      <c r="O5341" s="12" t="n">
        <v>1</v>
      </c>
      <c r="P5341" s="12" t="n">
        <v>480</v>
      </c>
      <c r="Q5341" s="12" t="n">
        <v>30</v>
      </c>
      <c r="R5341" s="12" t="n">
        <v>42</v>
      </c>
      <c r="S5341" s="12" t="inlineStr">
        <is>
          <t>Tray</t>
        </is>
      </c>
      <c r="T5341" s="15" t="n">
        <v>80</v>
      </c>
      <c r="U5341" s="15" t="n">
        <v>94</v>
      </c>
      <c r="V5341" s="15">
        <f>ROUNDUP((T5341+U5341+2*'Read Me'!$B$13)*(1+'Read Me'!$B$12),-1)</f>
        <v/>
      </c>
      <c r="W5341" s="15">
        <f>V5341*N5341*O5341</f>
        <v/>
      </c>
      <c r="X5341" s="12">
        <f>IF(LEFT(I5341,2)="MV",2*N5341*IF(L5341="1/C",O5341,1),0)</f>
        <v/>
      </c>
      <c r="Y5341" s="12">
        <f>IF(OR(LEFT(K5341,4)="LVAX",LEFT(K5341,6)="MV15AX",LEFT(K5341,4)="CTAX",LEFT(K5341,2)="W|"),2*N5341*O5341,0)</f>
        <v/>
      </c>
      <c r="Z5341" s="12" t="inlineStr">
        <is>
          <t>VD 1.4 %</t>
        </is>
      </c>
      <c r="AA5341" s="12">
        <f>N5341*O5341</f>
        <v/>
      </c>
    </row>
    <row r="5342">
      <c r="A5342" s="12" t="inlineStr">
        <is>
          <t>I-P-0163</t>
        </is>
      </c>
      <c r="B5342" s="12" t="inlineStr">
        <is>
          <t>I</t>
        </is>
      </c>
      <c r="C5342" s="12" t="inlineStr">
        <is>
          <t>Modular / portable power</t>
        </is>
      </c>
      <c r="D5342" s="12" t="inlineStr">
        <is>
          <t>LV panel / distribution feeder</t>
        </is>
      </c>
      <c r="E5342" s="12" t="inlineStr"/>
      <c r="F5342" s="12" t="inlineStr">
        <is>
          <t>PCM: power control module</t>
        </is>
      </c>
      <c r="G5342" s="12" t="inlineStr"/>
      <c r="H5342" s="12" t="inlineStr">
        <is>
          <t>RICE CEMS</t>
        </is>
      </c>
      <c r="I5342" s="12" t="inlineStr">
        <is>
          <t>LV 600 V</t>
        </is>
      </c>
      <c r="J5342" s="12" t="inlineStr">
        <is>
          <t>Type TC-ER 600 V 3/C Cu XHHW-2 + ground, PVC jacket</t>
        </is>
      </c>
      <c r="K5342" s="12" t="inlineStr">
        <is>
          <t>LV|3/C+G|6</t>
        </is>
      </c>
      <c r="L5342" s="12" t="inlineStr">
        <is>
          <t>3/C+G</t>
        </is>
      </c>
      <c r="M5342" s="12" t="inlineStr">
        <is>
          <t>6</t>
        </is>
      </c>
      <c r="N5342" s="12" t="n">
        <v>1</v>
      </c>
      <c r="O5342" s="12" t="n">
        <v>1</v>
      </c>
      <c r="P5342" s="12" t="n">
        <v>480</v>
      </c>
      <c r="Q5342" s="12" t="n">
        <v>30</v>
      </c>
      <c r="R5342" s="12" t="n">
        <v>42.5</v>
      </c>
      <c r="S5342" s="12" t="inlineStr">
        <is>
          <t>Duct bank</t>
        </is>
      </c>
      <c r="T5342" s="15" t="n">
        <v>158</v>
      </c>
      <c r="U5342" s="15" t="n">
        <v>32</v>
      </c>
      <c r="V5342" s="15">
        <f>ROUNDUP((T5342+U5342+2*'Read Me'!$B$13)*(1+'Read Me'!$B$12),-1)</f>
        <v/>
      </c>
      <c r="W5342" s="15">
        <f>V5342*N5342*O5342</f>
        <v/>
      </c>
      <c r="X5342" s="12">
        <f>IF(LEFT(I5342,2)="MV",2*N5342*IF(L5342="1/C",O5342,1),0)</f>
        <v/>
      </c>
      <c r="Y5342" s="12">
        <f>IF(OR(LEFT(K5342,4)="LVAX",LEFT(K5342,6)="MV15AX",LEFT(K5342,4)="CTAX",LEFT(K5342,2)="W|"),2*N5342*O5342,0)</f>
        <v/>
      </c>
      <c r="Z5342" s="12" t="inlineStr">
        <is>
          <t>VD 1.6 %</t>
        </is>
      </c>
      <c r="AA5342" s="12">
        <f>N5342*O5342</f>
        <v/>
      </c>
    </row>
    <row r="5343">
      <c r="A5343" s="12" t="inlineStr">
        <is>
          <t>I-P-0164</t>
        </is>
      </c>
      <c r="B5343" s="12" t="inlineStr">
        <is>
          <t>I</t>
        </is>
      </c>
      <c r="C5343" s="12" t="inlineStr">
        <is>
          <t>Modular / portable power</t>
        </is>
      </c>
      <c r="D5343" s="12" t="inlineStr">
        <is>
          <t>LV power feeder</t>
        </is>
      </c>
      <c r="E5343" s="12" t="inlineStr"/>
      <c r="F5343" s="12" t="inlineStr">
        <is>
          <t>PCM: power control module</t>
        </is>
      </c>
      <c r="G5343" s="12" t="inlineStr">
        <is>
          <t>RICE</t>
        </is>
      </c>
      <c r="H5343" s="12" t="inlineStr">
        <is>
          <t>RICE engine hall (8 engines)</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15</v>
      </c>
      <c r="R5343" s="12" t="n">
        <v>21.2</v>
      </c>
      <c r="S5343" s="12" t="inlineStr">
        <is>
          <t>Duct bank</t>
        </is>
      </c>
      <c r="T5343" s="15" t="n">
        <v>57</v>
      </c>
      <c r="U5343" s="15" t="n">
        <v>83</v>
      </c>
      <c r="V5343" s="15">
        <f>ROUNDUP((T5343+U5343+2*'Read Me'!$B$13)*(1+'Read Me'!$B$12),-1)</f>
        <v/>
      </c>
      <c r="W5343" s="15">
        <f>V5343*N5343*O5343</f>
        <v/>
      </c>
      <c r="X5343" s="12">
        <f>IF(LEFT(I5343,2)="MV",2*N5343*IF(L5343="1/C",O5343,1),0)</f>
        <v/>
      </c>
      <c r="Y5343" s="12">
        <f>IF(OR(LEFT(K5343,4)="LVAX",LEFT(K5343,6)="MV15AX",LEFT(K5343,4)="CTAX",LEFT(K5343,2)="W|"),2*N5343*O5343,0)</f>
        <v/>
      </c>
      <c r="Z5343" s="12" t="inlineStr">
        <is>
          <t>VD 1.4 %</t>
        </is>
      </c>
      <c r="AA5343" s="12">
        <f>N5343*O5343</f>
        <v/>
      </c>
    </row>
    <row r="5344">
      <c r="A5344" s="12" t="inlineStr">
        <is>
          <t>I-P-0165</t>
        </is>
      </c>
      <c r="B5344" s="12" t="inlineStr">
        <is>
          <t>I</t>
        </is>
      </c>
      <c r="C5344" s="12" t="inlineStr">
        <is>
          <t>Modular / portable power</t>
        </is>
      </c>
      <c r="D5344" s="12" t="inlineStr">
        <is>
          <t>Motor 1 of 6, 22 kW</t>
        </is>
      </c>
      <c r="E5344" s="12" t="inlineStr"/>
      <c r="F5344" s="12" t="inlineStr">
        <is>
          <t>PCM: power control module</t>
        </is>
      </c>
      <c r="G5344" s="12" t="inlineStr">
        <is>
          <t>RICE-1</t>
        </is>
      </c>
      <c r="H5344" s="12" t="inlineStr">
        <is>
          <t>RICE engine-generator 1</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137</v>
      </c>
      <c r="V5344" s="15">
        <f>ROUNDUP((T5344+U5344+2*'Read Me'!$B$13)*(1+'Read Me'!$B$12),-1)</f>
        <v/>
      </c>
      <c r="W5344" s="15">
        <f>V5344*N5344*O5344</f>
        <v/>
      </c>
      <c r="X5344" s="12">
        <f>IF(LEFT(I5344,2)="MV",2*N5344*IF(L5344="1/C",O5344,1),0)</f>
        <v/>
      </c>
      <c r="Y5344" s="12">
        <f>IF(OR(LEFT(K5344,4)="LVAX",LEFT(K5344,6)="MV15AX",LEFT(K5344,4)="CTAX",LEFT(K5344,2)="W|"),2*N5344*O5344,0)</f>
        <v/>
      </c>
      <c r="Z5344" s="12" t="inlineStr">
        <is>
          <t>VD 2.5 %</t>
        </is>
      </c>
      <c r="AA5344" s="12">
        <f>N5344*O5344</f>
        <v/>
      </c>
    </row>
    <row r="5345">
      <c r="A5345" s="12" t="inlineStr">
        <is>
          <t>I-P-0166</t>
        </is>
      </c>
      <c r="B5345" s="12" t="inlineStr">
        <is>
          <t>I</t>
        </is>
      </c>
      <c r="C5345" s="12" t="inlineStr">
        <is>
          <t>Modular / portable power</t>
        </is>
      </c>
      <c r="D5345" s="12" t="inlineStr">
        <is>
          <t>Motor 2 of 6, 22 kW</t>
        </is>
      </c>
      <c r="E5345" s="12" t="inlineStr"/>
      <c r="F5345" s="12" t="inlineStr">
        <is>
          <t>PCM: power control module</t>
        </is>
      </c>
      <c r="G5345" s="12" t="inlineStr">
        <is>
          <t>RICE-1</t>
        </is>
      </c>
      <c r="H5345" s="12" t="inlineStr">
        <is>
          <t>RICE engine-generator 1</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137</v>
      </c>
      <c r="V5345" s="15">
        <f>ROUNDUP((T5345+U5345+2*'Read Me'!$B$13)*(1+'Read Me'!$B$12),-1)</f>
        <v/>
      </c>
      <c r="W5345" s="15">
        <f>V5345*N5345*O5345</f>
        <v/>
      </c>
      <c r="X5345" s="12">
        <f>IF(LEFT(I5345,2)="MV",2*N5345*IF(L5345="1/C",O5345,1),0)</f>
        <v/>
      </c>
      <c r="Y5345" s="12">
        <f>IF(OR(LEFT(K5345,4)="LVAX",LEFT(K5345,6)="MV15AX",LEFT(K5345,4)="CTAX",LEFT(K5345,2)="W|"),2*N5345*O5345,0)</f>
        <v/>
      </c>
      <c r="Z5345" s="12" t="inlineStr">
        <is>
          <t>VD 2.5 %</t>
        </is>
      </c>
      <c r="AA5345" s="12">
        <f>N5345*O5345</f>
        <v/>
      </c>
    </row>
    <row r="5346">
      <c r="A5346" s="12" t="inlineStr">
        <is>
          <t>I-P-0167</t>
        </is>
      </c>
      <c r="B5346" s="12" t="inlineStr">
        <is>
          <t>I</t>
        </is>
      </c>
      <c r="C5346" s="12" t="inlineStr">
        <is>
          <t>Modular / portable power</t>
        </is>
      </c>
      <c r="D5346" s="12" t="inlineStr">
        <is>
          <t>Motor 3 of 6, 22 kW</t>
        </is>
      </c>
      <c r="E5346" s="12" t="inlineStr"/>
      <c r="F5346" s="12" t="inlineStr">
        <is>
          <t>PCM: power control module</t>
        </is>
      </c>
      <c r="G5346" s="12" t="inlineStr">
        <is>
          <t>RICE-1</t>
        </is>
      </c>
      <c r="H5346" s="12" t="inlineStr">
        <is>
          <t>RICE engine-generator 1</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137</v>
      </c>
      <c r="V5346" s="15">
        <f>ROUNDUP((T5346+U5346+2*'Read Me'!$B$13)*(1+'Read Me'!$B$12),-1)</f>
        <v/>
      </c>
      <c r="W5346" s="15">
        <f>V5346*N5346*O5346</f>
        <v/>
      </c>
      <c r="X5346" s="12">
        <f>IF(LEFT(I5346,2)="MV",2*N5346*IF(L5346="1/C",O5346,1),0)</f>
        <v/>
      </c>
      <c r="Y5346" s="12">
        <f>IF(OR(LEFT(K5346,4)="LVAX",LEFT(K5346,6)="MV15AX",LEFT(K5346,4)="CTAX",LEFT(K5346,2)="W|"),2*N5346*O5346,0)</f>
        <v/>
      </c>
      <c r="Z5346" s="12" t="inlineStr">
        <is>
          <t>VD 2.5 %</t>
        </is>
      </c>
      <c r="AA5346" s="12">
        <f>N5346*O5346</f>
        <v/>
      </c>
    </row>
    <row r="5347">
      <c r="A5347" s="12" t="inlineStr">
        <is>
          <t>I-P-0168</t>
        </is>
      </c>
      <c r="B5347" s="12" t="inlineStr">
        <is>
          <t>I</t>
        </is>
      </c>
      <c r="C5347" s="12" t="inlineStr">
        <is>
          <t>Modular / portable power</t>
        </is>
      </c>
      <c r="D5347" s="12" t="inlineStr">
        <is>
          <t>Motor 4 of 6, 22 kW</t>
        </is>
      </c>
      <c r="E5347" s="12" t="inlineStr"/>
      <c r="F5347" s="12" t="inlineStr">
        <is>
          <t>PCM: power control module</t>
        </is>
      </c>
      <c r="G5347" s="12" t="inlineStr">
        <is>
          <t>RICE-1</t>
        </is>
      </c>
      <c r="H5347" s="12" t="inlineStr">
        <is>
          <t>RICE engine-generator 1</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137</v>
      </c>
      <c r="V5347" s="15">
        <f>ROUNDUP((T5347+U5347+2*'Read Me'!$B$13)*(1+'Read Me'!$B$12),-1)</f>
        <v/>
      </c>
      <c r="W5347" s="15">
        <f>V5347*N5347*O5347</f>
        <v/>
      </c>
      <c r="X5347" s="12">
        <f>IF(LEFT(I5347,2)="MV",2*N5347*IF(L5347="1/C",O5347,1),0)</f>
        <v/>
      </c>
      <c r="Y5347" s="12">
        <f>IF(OR(LEFT(K5347,4)="LVAX",LEFT(K5347,6)="MV15AX",LEFT(K5347,4)="CTAX",LEFT(K5347,2)="W|"),2*N5347*O5347,0)</f>
        <v/>
      </c>
      <c r="Z5347" s="12" t="inlineStr">
        <is>
          <t>VD 2.5 %</t>
        </is>
      </c>
      <c r="AA5347" s="12">
        <f>N5347*O5347</f>
        <v/>
      </c>
    </row>
    <row r="5348">
      <c r="A5348" s="12" t="inlineStr">
        <is>
          <t>I-P-0169</t>
        </is>
      </c>
      <c r="B5348" s="12" t="inlineStr">
        <is>
          <t>I</t>
        </is>
      </c>
      <c r="C5348" s="12" t="inlineStr">
        <is>
          <t>Modular / portable power</t>
        </is>
      </c>
      <c r="D5348" s="12" t="inlineStr">
        <is>
          <t>Motor 5 of 6, 22 kW</t>
        </is>
      </c>
      <c r="E5348" s="12" t="inlineStr"/>
      <c r="F5348" s="12" t="inlineStr">
        <is>
          <t>PCM: power control module</t>
        </is>
      </c>
      <c r="G5348" s="12" t="inlineStr">
        <is>
          <t>RICE-1</t>
        </is>
      </c>
      <c r="H5348" s="12" t="inlineStr">
        <is>
          <t>RICE engine-generator 1</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137</v>
      </c>
      <c r="V5348" s="15">
        <f>ROUNDUP((T5348+U5348+2*'Read Me'!$B$13)*(1+'Read Me'!$B$12),-1)</f>
        <v/>
      </c>
      <c r="W5348" s="15">
        <f>V5348*N5348*O5348</f>
        <v/>
      </c>
      <c r="X5348" s="12">
        <f>IF(LEFT(I5348,2)="MV",2*N5348*IF(L5348="1/C",O5348,1),0)</f>
        <v/>
      </c>
      <c r="Y5348" s="12">
        <f>IF(OR(LEFT(K5348,4)="LVAX",LEFT(K5348,6)="MV15AX",LEFT(K5348,4)="CTAX",LEFT(K5348,2)="W|"),2*N5348*O5348,0)</f>
        <v/>
      </c>
      <c r="Z5348" s="12" t="inlineStr">
        <is>
          <t>VD 2.5 %</t>
        </is>
      </c>
      <c r="AA5348" s="12">
        <f>N5348*O5348</f>
        <v/>
      </c>
    </row>
    <row r="5349">
      <c r="A5349" s="12" t="inlineStr">
        <is>
          <t>I-P-0170</t>
        </is>
      </c>
      <c r="B5349" s="12" t="inlineStr">
        <is>
          <t>I</t>
        </is>
      </c>
      <c r="C5349" s="12" t="inlineStr">
        <is>
          <t>Modular / portable power</t>
        </is>
      </c>
      <c r="D5349" s="12" t="inlineStr">
        <is>
          <t>Motor 6 of 6, 22 kW</t>
        </is>
      </c>
      <c r="E5349" s="12" t="inlineStr"/>
      <c r="F5349" s="12" t="inlineStr">
        <is>
          <t>PCM: power control module</t>
        </is>
      </c>
      <c r="G5349" s="12" t="inlineStr">
        <is>
          <t>RICE-1</t>
        </is>
      </c>
      <c r="H5349" s="12" t="inlineStr">
        <is>
          <t>RICE engine-generator 1</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137</v>
      </c>
      <c r="V5349" s="15">
        <f>ROUNDUP((T5349+U5349+2*'Read Me'!$B$13)*(1+'Read Me'!$B$12),-1)</f>
        <v/>
      </c>
      <c r="W5349" s="15">
        <f>V5349*N5349*O5349</f>
        <v/>
      </c>
      <c r="X5349" s="12">
        <f>IF(LEFT(I5349,2)="MV",2*N5349*IF(L5349="1/C",O5349,1),0)</f>
        <v/>
      </c>
      <c r="Y5349" s="12">
        <f>IF(OR(LEFT(K5349,4)="LVAX",LEFT(K5349,6)="MV15AX",LEFT(K5349,4)="CTAX",LEFT(K5349,2)="W|"),2*N5349*O5349,0)</f>
        <v/>
      </c>
      <c r="Z5349" s="12" t="inlineStr">
        <is>
          <t>VD 2.5 %</t>
        </is>
      </c>
      <c r="AA5349" s="12">
        <f>N5349*O5349</f>
        <v/>
      </c>
    </row>
    <row r="5350">
      <c r="A5350" s="12" t="inlineStr">
        <is>
          <t>I-P-0171</t>
        </is>
      </c>
      <c r="B5350" s="12" t="inlineStr">
        <is>
          <t>I</t>
        </is>
      </c>
      <c r="C5350" s="12" t="inlineStr">
        <is>
          <t>Modular / portable power</t>
        </is>
      </c>
      <c r="D5350" s="12" t="inlineStr">
        <is>
          <t>480 V welding receptacle 1</t>
        </is>
      </c>
      <c r="E5350" s="12" t="inlineStr"/>
      <c r="F5350" s="12" t="inlineStr">
        <is>
          <t>PCM: power control module</t>
        </is>
      </c>
      <c r="G5350" s="12" t="inlineStr">
        <is>
          <t>RICE-1</t>
        </is>
      </c>
      <c r="H5350" s="12" t="inlineStr">
        <is>
          <t>RICE engine-generator 1</t>
        </is>
      </c>
      <c r="I5350" s="12" t="inlineStr">
        <is>
          <t>LV 600 V</t>
        </is>
      </c>
      <c r="J5350" s="12" t="inlineStr">
        <is>
          <t>Type TC-ER 600 V 3/C Cu XHHW-2 + ground, PVC jacket</t>
        </is>
      </c>
      <c r="K5350" s="12" t="inlineStr">
        <is>
          <t>LV|3/C+G|1/0</t>
        </is>
      </c>
      <c r="L5350" s="12" t="inlineStr">
        <is>
          <t>3/C+G</t>
        </is>
      </c>
      <c r="M5350" s="12" t="inlineStr">
        <is>
          <t>1/0</t>
        </is>
      </c>
      <c r="N5350" s="12" t="n">
        <v>1</v>
      </c>
      <c r="O5350" s="12" t="n">
        <v>1</v>
      </c>
      <c r="P5350" s="12" t="n">
        <v>480</v>
      </c>
      <c r="Q5350" s="12" t="n">
        <v>60</v>
      </c>
      <c r="R5350" s="12" t="n">
        <v>76</v>
      </c>
      <c r="S5350" s="12" t="inlineStr">
        <is>
          <t>Duct bank</t>
        </is>
      </c>
      <c r="T5350" s="15" t="n">
        <v>516</v>
      </c>
      <c r="U5350" s="15" t="n">
        <v>137</v>
      </c>
      <c r="V5350" s="15">
        <f>ROUNDUP((T5350+U5350+2*'Read Me'!$B$13)*(1+'Read Me'!$B$12),-1)</f>
        <v/>
      </c>
      <c r="W5350" s="15">
        <f>V5350*N5350*O5350</f>
        <v/>
      </c>
      <c r="X5350" s="12">
        <f>IF(LEFT(I5350,2)="MV",2*N5350*IF(L5350="1/C",O5350,1),0)</f>
        <v/>
      </c>
      <c r="Y5350" s="12">
        <f>IF(OR(LEFT(K5350,4)="LVAX",LEFT(K5350,6)="MV15AX",LEFT(K5350,4)="CTAX",LEFT(K5350,2)="W|"),2*N5350*O5350,0)</f>
        <v/>
      </c>
      <c r="Z5350" s="12" t="inlineStr">
        <is>
          <t>VD 2.4 %</t>
        </is>
      </c>
      <c r="AA5350" s="12">
        <f>N5350*O5350</f>
        <v/>
      </c>
    </row>
    <row r="5351">
      <c r="A5351" s="12" t="inlineStr">
        <is>
          <t>I-P-0172</t>
        </is>
      </c>
      <c r="B5351" s="12" t="inlineStr">
        <is>
          <t>I</t>
        </is>
      </c>
      <c r="C5351" s="12" t="inlineStr">
        <is>
          <t>Modular / portable power</t>
        </is>
      </c>
      <c r="D5351" s="12" t="inlineStr">
        <is>
          <t>480 V welding receptacle 2</t>
        </is>
      </c>
      <c r="E5351" s="12" t="inlineStr"/>
      <c r="F5351" s="12" t="inlineStr">
        <is>
          <t>PCM: power control module</t>
        </is>
      </c>
      <c r="G5351" s="12" t="inlineStr">
        <is>
          <t>RICE-1</t>
        </is>
      </c>
      <c r="H5351" s="12" t="inlineStr">
        <is>
          <t>RICE engine-generator 1</t>
        </is>
      </c>
      <c r="I5351" s="12" t="inlineStr">
        <is>
          <t>LV 600 V</t>
        </is>
      </c>
      <c r="J5351" s="12" t="inlineStr">
        <is>
          <t>Type TC-ER 600 V 3/C Cu XHHW-2 + ground, PVC jacket</t>
        </is>
      </c>
      <c r="K5351" s="12" t="inlineStr">
        <is>
          <t>LV|3/C+G|1/0</t>
        </is>
      </c>
      <c r="L5351" s="12" t="inlineStr">
        <is>
          <t>3/C+G</t>
        </is>
      </c>
      <c r="M5351" s="12" t="inlineStr">
        <is>
          <t>1/0</t>
        </is>
      </c>
      <c r="N5351" s="12" t="n">
        <v>1</v>
      </c>
      <c r="O5351" s="12" t="n">
        <v>1</v>
      </c>
      <c r="P5351" s="12" t="n">
        <v>480</v>
      </c>
      <c r="Q5351" s="12" t="n">
        <v>60</v>
      </c>
      <c r="R5351" s="12" t="n">
        <v>76</v>
      </c>
      <c r="S5351" s="12" t="inlineStr">
        <is>
          <t>Duct bank</t>
        </is>
      </c>
      <c r="T5351" s="15" t="n">
        <v>516</v>
      </c>
      <c r="U5351" s="15" t="n">
        <v>137</v>
      </c>
      <c r="V5351" s="15">
        <f>ROUNDUP((T5351+U5351+2*'Read Me'!$B$13)*(1+'Read Me'!$B$12),-1)</f>
        <v/>
      </c>
      <c r="W5351" s="15">
        <f>V5351*N5351*O5351</f>
        <v/>
      </c>
      <c r="X5351" s="12">
        <f>IF(LEFT(I5351,2)="MV",2*N5351*IF(L5351="1/C",O5351,1),0)</f>
        <v/>
      </c>
      <c r="Y5351" s="12">
        <f>IF(OR(LEFT(K5351,4)="LVAX",LEFT(K5351,6)="MV15AX",LEFT(K5351,4)="CTAX",LEFT(K5351,2)="W|"),2*N5351*O5351,0)</f>
        <v/>
      </c>
      <c r="Z5351" s="12" t="inlineStr">
        <is>
          <t>VD 2.4 %</t>
        </is>
      </c>
      <c r="AA5351" s="12">
        <f>N5351*O5351</f>
        <v/>
      </c>
    </row>
    <row r="5352">
      <c r="A5352" s="12" t="inlineStr">
        <is>
          <t>I-P-0173</t>
        </is>
      </c>
      <c r="B5352" s="12" t="inlineStr">
        <is>
          <t>I</t>
        </is>
      </c>
      <c r="C5352" s="12" t="inlineStr">
        <is>
          <t>Modular / portable power</t>
        </is>
      </c>
      <c r="D5352" s="12" t="inlineStr">
        <is>
          <t>480 V welding receptacle 3</t>
        </is>
      </c>
      <c r="E5352" s="12" t="inlineStr"/>
      <c r="F5352" s="12" t="inlineStr">
        <is>
          <t>PCM: power control module</t>
        </is>
      </c>
      <c r="G5352" s="12" t="inlineStr">
        <is>
          <t>RICE-1</t>
        </is>
      </c>
      <c r="H5352" s="12" t="inlineStr">
        <is>
          <t>RICE engine-generator 1</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60</v>
      </c>
      <c r="R5352" s="12" t="n">
        <v>76</v>
      </c>
      <c r="S5352" s="12" t="inlineStr">
        <is>
          <t>Duct bank</t>
        </is>
      </c>
      <c r="T5352" s="15" t="n">
        <v>516</v>
      </c>
      <c r="U5352" s="15" t="n">
        <v>137</v>
      </c>
      <c r="V5352" s="15">
        <f>ROUNDUP((T5352+U5352+2*'Read Me'!$B$13)*(1+'Read Me'!$B$12),-1)</f>
        <v/>
      </c>
      <c r="W5352" s="15">
        <f>V5352*N5352*O5352</f>
        <v/>
      </c>
      <c r="X5352" s="12">
        <f>IF(LEFT(I5352,2)="MV",2*N5352*IF(L5352="1/C",O5352,1),0)</f>
        <v/>
      </c>
      <c r="Y5352" s="12">
        <f>IF(OR(LEFT(K5352,4)="LVAX",LEFT(K5352,6)="MV15AX",LEFT(K5352,4)="CTAX",LEFT(K5352,2)="W|"),2*N5352*O5352,0)</f>
        <v/>
      </c>
      <c r="Z5352" s="12" t="inlineStr">
        <is>
          <t>VD 2.4 %</t>
        </is>
      </c>
      <c r="AA5352" s="12">
        <f>N5352*O5352</f>
        <v/>
      </c>
    </row>
    <row r="5353">
      <c r="A5353" s="12" t="inlineStr">
        <is>
          <t>I-P-0174</t>
        </is>
      </c>
      <c r="B5353" s="12" t="inlineStr">
        <is>
          <t>I</t>
        </is>
      </c>
      <c r="C5353" s="12" t="inlineStr">
        <is>
          <t>Modular / portable power</t>
        </is>
      </c>
      <c r="D5353" s="12" t="inlineStr">
        <is>
          <t>480 V welding receptacle 4</t>
        </is>
      </c>
      <c r="E5353" s="12" t="inlineStr"/>
      <c r="F5353" s="12" t="inlineStr">
        <is>
          <t>PCM: power control module</t>
        </is>
      </c>
      <c r="G5353" s="12" t="inlineStr">
        <is>
          <t>RICE-1</t>
        </is>
      </c>
      <c r="H5353" s="12" t="inlineStr">
        <is>
          <t>RICE engine-generator 1</t>
        </is>
      </c>
      <c r="I5353" s="12" t="inlineStr">
        <is>
          <t>LV 600 V</t>
        </is>
      </c>
      <c r="J5353" s="12" t="inlineStr">
        <is>
          <t>Type TC-ER 600 V 3/C Cu XHHW-2 + ground, PVC jacket</t>
        </is>
      </c>
      <c r="K5353" s="12" t="inlineStr">
        <is>
          <t>LV|3/C+G|1/0</t>
        </is>
      </c>
      <c r="L5353" s="12" t="inlineStr">
        <is>
          <t>3/C+G</t>
        </is>
      </c>
      <c r="M5353" s="12" t="inlineStr">
        <is>
          <t>1/0</t>
        </is>
      </c>
      <c r="N5353" s="12" t="n">
        <v>1</v>
      </c>
      <c r="O5353" s="12" t="n">
        <v>1</v>
      </c>
      <c r="P5353" s="12" t="n">
        <v>480</v>
      </c>
      <c r="Q5353" s="12" t="n">
        <v>60</v>
      </c>
      <c r="R5353" s="12" t="n">
        <v>76</v>
      </c>
      <c r="S5353" s="12" t="inlineStr">
        <is>
          <t>Duct bank</t>
        </is>
      </c>
      <c r="T5353" s="15" t="n">
        <v>516</v>
      </c>
      <c r="U5353" s="15" t="n">
        <v>137</v>
      </c>
      <c r="V5353" s="15">
        <f>ROUNDUP((T5353+U5353+2*'Read Me'!$B$13)*(1+'Read Me'!$B$12),-1)</f>
        <v/>
      </c>
      <c r="W5353" s="15">
        <f>V5353*N5353*O5353</f>
        <v/>
      </c>
      <c r="X5353" s="12">
        <f>IF(LEFT(I5353,2)="MV",2*N5353*IF(L5353="1/C",O5353,1),0)</f>
        <v/>
      </c>
      <c r="Y5353" s="12">
        <f>IF(OR(LEFT(K5353,4)="LVAX",LEFT(K5353,6)="MV15AX",LEFT(K5353,4)="CTAX",LEFT(K5353,2)="W|"),2*N5353*O5353,0)</f>
        <v/>
      </c>
      <c r="Z5353" s="12" t="inlineStr">
        <is>
          <t>VD 2.4 %</t>
        </is>
      </c>
      <c r="AA5353" s="12">
        <f>N5353*O5353</f>
        <v/>
      </c>
    </row>
    <row r="5354">
      <c r="A5354" s="12" t="inlineStr">
        <is>
          <t>I-P-0175</t>
        </is>
      </c>
      <c r="B5354" s="12" t="inlineStr">
        <is>
          <t>I</t>
        </is>
      </c>
      <c r="C5354" s="12" t="inlineStr">
        <is>
          <t>Modular / portable power</t>
        </is>
      </c>
      <c r="D5354" s="12" t="inlineStr">
        <is>
          <t>Motor 1 of 6, 22 kW</t>
        </is>
      </c>
      <c r="E5354" s="12" t="inlineStr"/>
      <c r="F5354" s="12" t="inlineStr">
        <is>
          <t>PCM: power control module</t>
        </is>
      </c>
      <c r="G5354" s="12" t="inlineStr">
        <is>
          <t>RICE-2</t>
        </is>
      </c>
      <c r="H5354" s="12" t="inlineStr">
        <is>
          <t>RICE engine-generator 2</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109</v>
      </c>
      <c r="V5354" s="15">
        <f>ROUNDUP((T5354+U5354+2*'Read Me'!$B$13)*(1+'Read Me'!$B$12),-1)</f>
        <v/>
      </c>
      <c r="W5354" s="15">
        <f>V5354*N5354*O5354</f>
        <v/>
      </c>
      <c r="X5354" s="12">
        <f>IF(LEFT(I5354,2)="MV",2*N5354*IF(L5354="1/C",O5354,1),0)</f>
        <v/>
      </c>
      <c r="Y5354" s="12">
        <f>IF(OR(LEFT(K5354,4)="LVAX",LEFT(K5354,6)="MV15AX",LEFT(K5354,4)="CTAX",LEFT(K5354,2)="W|"),2*N5354*O5354,0)</f>
        <v/>
      </c>
      <c r="Z5354" s="12" t="inlineStr">
        <is>
          <t>VD 2.4 %</t>
        </is>
      </c>
      <c r="AA5354" s="12">
        <f>N5354*O5354</f>
        <v/>
      </c>
    </row>
    <row r="5355">
      <c r="A5355" s="12" t="inlineStr">
        <is>
          <t>I-P-0176</t>
        </is>
      </c>
      <c r="B5355" s="12" t="inlineStr">
        <is>
          <t>I</t>
        </is>
      </c>
      <c r="C5355" s="12" t="inlineStr">
        <is>
          <t>Modular / portable power</t>
        </is>
      </c>
      <c r="D5355" s="12" t="inlineStr">
        <is>
          <t>Motor 2 of 6, 22 kW</t>
        </is>
      </c>
      <c r="E5355" s="12" t="inlineStr"/>
      <c r="F5355" s="12" t="inlineStr">
        <is>
          <t>PCM: power control module</t>
        </is>
      </c>
      <c r="G5355" s="12" t="inlineStr">
        <is>
          <t>RICE-2</t>
        </is>
      </c>
      <c r="H5355" s="12" t="inlineStr">
        <is>
          <t>RICE engine-generator 2</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109</v>
      </c>
      <c r="V5355" s="15">
        <f>ROUNDUP((T5355+U5355+2*'Read Me'!$B$13)*(1+'Read Me'!$B$12),-1)</f>
        <v/>
      </c>
      <c r="W5355" s="15">
        <f>V5355*N5355*O5355</f>
        <v/>
      </c>
      <c r="X5355" s="12">
        <f>IF(LEFT(I5355,2)="MV",2*N5355*IF(L5355="1/C",O5355,1),0)</f>
        <v/>
      </c>
      <c r="Y5355" s="12">
        <f>IF(OR(LEFT(K5355,4)="LVAX",LEFT(K5355,6)="MV15AX",LEFT(K5355,4)="CTAX",LEFT(K5355,2)="W|"),2*N5355*O5355,0)</f>
        <v/>
      </c>
      <c r="Z5355" s="12" t="inlineStr">
        <is>
          <t>VD 2.4 %</t>
        </is>
      </c>
      <c r="AA5355" s="12">
        <f>N5355*O5355</f>
        <v/>
      </c>
    </row>
    <row r="5356">
      <c r="A5356" s="12" t="inlineStr">
        <is>
          <t>I-P-0177</t>
        </is>
      </c>
      <c r="B5356" s="12" t="inlineStr">
        <is>
          <t>I</t>
        </is>
      </c>
      <c r="C5356" s="12" t="inlineStr">
        <is>
          <t>Modular / portable power</t>
        </is>
      </c>
      <c r="D5356" s="12" t="inlineStr">
        <is>
          <t>Motor 3 of 6, 22 kW</t>
        </is>
      </c>
      <c r="E5356" s="12" t="inlineStr"/>
      <c r="F5356" s="12" t="inlineStr">
        <is>
          <t>PCM: power control module</t>
        </is>
      </c>
      <c r="G5356" s="12" t="inlineStr">
        <is>
          <t>RICE-2</t>
        </is>
      </c>
      <c r="H5356" s="12" t="inlineStr">
        <is>
          <t>RICE engine-generator 2</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109</v>
      </c>
      <c r="V5356" s="15">
        <f>ROUNDUP((T5356+U5356+2*'Read Me'!$B$13)*(1+'Read Me'!$B$12),-1)</f>
        <v/>
      </c>
      <c r="W5356" s="15">
        <f>V5356*N5356*O5356</f>
        <v/>
      </c>
      <c r="X5356" s="12">
        <f>IF(LEFT(I5356,2)="MV",2*N5356*IF(L5356="1/C",O5356,1),0)</f>
        <v/>
      </c>
      <c r="Y5356" s="12">
        <f>IF(OR(LEFT(K5356,4)="LVAX",LEFT(K5356,6)="MV15AX",LEFT(K5356,4)="CTAX",LEFT(K5356,2)="W|"),2*N5356*O5356,0)</f>
        <v/>
      </c>
      <c r="Z5356" s="12" t="inlineStr">
        <is>
          <t>VD 2.4 %</t>
        </is>
      </c>
      <c r="AA5356" s="12">
        <f>N5356*O5356</f>
        <v/>
      </c>
    </row>
    <row r="5357">
      <c r="A5357" s="12" t="inlineStr">
        <is>
          <t>I-P-0178</t>
        </is>
      </c>
      <c r="B5357" s="12" t="inlineStr">
        <is>
          <t>I</t>
        </is>
      </c>
      <c r="C5357" s="12" t="inlineStr">
        <is>
          <t>Modular / portable power</t>
        </is>
      </c>
      <c r="D5357" s="12" t="inlineStr">
        <is>
          <t>Motor 4 of 6, 22 kW</t>
        </is>
      </c>
      <c r="E5357" s="12" t="inlineStr"/>
      <c r="F5357" s="12" t="inlineStr">
        <is>
          <t>PCM: power control module</t>
        </is>
      </c>
      <c r="G5357" s="12" t="inlineStr">
        <is>
          <t>RICE-2</t>
        </is>
      </c>
      <c r="H5357" s="12" t="inlineStr">
        <is>
          <t>RICE engine-generator 2</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109</v>
      </c>
      <c r="V5357" s="15">
        <f>ROUNDUP((T5357+U5357+2*'Read Me'!$B$13)*(1+'Read Me'!$B$12),-1)</f>
        <v/>
      </c>
      <c r="W5357" s="15">
        <f>V5357*N5357*O5357</f>
        <v/>
      </c>
      <c r="X5357" s="12">
        <f>IF(LEFT(I5357,2)="MV",2*N5357*IF(L5357="1/C",O5357,1),0)</f>
        <v/>
      </c>
      <c r="Y5357" s="12">
        <f>IF(OR(LEFT(K5357,4)="LVAX",LEFT(K5357,6)="MV15AX",LEFT(K5357,4)="CTAX",LEFT(K5357,2)="W|"),2*N5357*O5357,0)</f>
        <v/>
      </c>
      <c r="Z5357" s="12" t="inlineStr">
        <is>
          <t>VD 2.4 %</t>
        </is>
      </c>
      <c r="AA5357" s="12">
        <f>N5357*O5357</f>
        <v/>
      </c>
    </row>
    <row r="5358">
      <c r="A5358" s="12" t="inlineStr">
        <is>
          <t>I-P-0179</t>
        </is>
      </c>
      <c r="B5358" s="12" t="inlineStr">
        <is>
          <t>I</t>
        </is>
      </c>
      <c r="C5358" s="12" t="inlineStr">
        <is>
          <t>Modular / portable power</t>
        </is>
      </c>
      <c r="D5358" s="12" t="inlineStr">
        <is>
          <t>Motor 5 of 6, 22 kW</t>
        </is>
      </c>
      <c r="E5358" s="12" t="inlineStr"/>
      <c r="F5358" s="12" t="inlineStr">
        <is>
          <t>PCM: power control module</t>
        </is>
      </c>
      <c r="G5358" s="12" t="inlineStr">
        <is>
          <t>RICE-2</t>
        </is>
      </c>
      <c r="H5358" s="12" t="inlineStr">
        <is>
          <t>RICE engine-generator 2</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109</v>
      </c>
      <c r="V5358" s="15">
        <f>ROUNDUP((T5358+U5358+2*'Read Me'!$B$13)*(1+'Read Me'!$B$12),-1)</f>
        <v/>
      </c>
      <c r="W5358" s="15">
        <f>V5358*N5358*O5358</f>
        <v/>
      </c>
      <c r="X5358" s="12">
        <f>IF(LEFT(I5358,2)="MV",2*N5358*IF(L5358="1/C",O5358,1),0)</f>
        <v/>
      </c>
      <c r="Y5358" s="12">
        <f>IF(OR(LEFT(K5358,4)="LVAX",LEFT(K5358,6)="MV15AX",LEFT(K5358,4)="CTAX",LEFT(K5358,2)="W|"),2*N5358*O5358,0)</f>
        <v/>
      </c>
      <c r="Z5358" s="12" t="inlineStr">
        <is>
          <t>VD 2.4 %</t>
        </is>
      </c>
      <c r="AA5358" s="12">
        <f>N5358*O5358</f>
        <v/>
      </c>
    </row>
    <row r="5359">
      <c r="A5359" s="12" t="inlineStr">
        <is>
          <t>I-P-0180</t>
        </is>
      </c>
      <c r="B5359" s="12" t="inlineStr">
        <is>
          <t>I</t>
        </is>
      </c>
      <c r="C5359" s="12" t="inlineStr">
        <is>
          <t>Modular / portable power</t>
        </is>
      </c>
      <c r="D5359" s="12" t="inlineStr">
        <is>
          <t>Motor 6 of 6, 22 kW</t>
        </is>
      </c>
      <c r="E5359" s="12" t="inlineStr"/>
      <c r="F5359" s="12" t="inlineStr">
        <is>
          <t>PCM: power control module</t>
        </is>
      </c>
      <c r="G5359" s="12" t="inlineStr">
        <is>
          <t>RICE-2</t>
        </is>
      </c>
      <c r="H5359" s="12" t="inlineStr">
        <is>
          <t>RICE engine-generator 2</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109</v>
      </c>
      <c r="V5359" s="15">
        <f>ROUNDUP((T5359+U5359+2*'Read Me'!$B$13)*(1+'Read Me'!$B$12),-1)</f>
        <v/>
      </c>
      <c r="W5359" s="15">
        <f>V5359*N5359*O5359</f>
        <v/>
      </c>
      <c r="X5359" s="12">
        <f>IF(LEFT(I5359,2)="MV",2*N5359*IF(L5359="1/C",O5359,1),0)</f>
        <v/>
      </c>
      <c r="Y5359" s="12">
        <f>IF(OR(LEFT(K5359,4)="LVAX",LEFT(K5359,6)="MV15AX",LEFT(K5359,4)="CTAX",LEFT(K5359,2)="W|"),2*N5359*O5359,0)</f>
        <v/>
      </c>
      <c r="Z5359" s="12" t="inlineStr">
        <is>
          <t>VD 2.4 %</t>
        </is>
      </c>
      <c r="AA5359" s="12">
        <f>N5359*O5359</f>
        <v/>
      </c>
    </row>
    <row r="5360">
      <c r="A5360" s="12" t="inlineStr">
        <is>
          <t>I-P-0181</t>
        </is>
      </c>
      <c r="B5360" s="12" t="inlineStr">
        <is>
          <t>I</t>
        </is>
      </c>
      <c r="C5360" s="12" t="inlineStr">
        <is>
          <t>Modular / portable power</t>
        </is>
      </c>
      <c r="D5360" s="12" t="inlineStr">
        <is>
          <t>480 V welding receptacle 1</t>
        </is>
      </c>
      <c r="E5360" s="12" t="inlineStr"/>
      <c r="F5360" s="12" t="inlineStr">
        <is>
          <t>PCM: power control module</t>
        </is>
      </c>
      <c r="G5360" s="12" t="inlineStr">
        <is>
          <t>RICE-2</t>
        </is>
      </c>
      <c r="H5360" s="12" t="inlineStr">
        <is>
          <t>RICE engine-generator 2</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109</v>
      </c>
      <c r="V5360" s="15">
        <f>ROUNDUP((T5360+U5360+2*'Read Me'!$B$13)*(1+'Read Me'!$B$12),-1)</f>
        <v/>
      </c>
      <c r="W5360" s="15">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I-P-0182</t>
        </is>
      </c>
      <c r="B5361" s="12" t="inlineStr">
        <is>
          <t>I</t>
        </is>
      </c>
      <c r="C5361" s="12" t="inlineStr">
        <is>
          <t>Modular / portable power</t>
        </is>
      </c>
      <c r="D5361" s="12" t="inlineStr">
        <is>
          <t>480 V welding receptacle 2</t>
        </is>
      </c>
      <c r="E5361" s="12" t="inlineStr"/>
      <c r="F5361" s="12" t="inlineStr">
        <is>
          <t>PCM: power control module</t>
        </is>
      </c>
      <c r="G5361" s="12" t="inlineStr">
        <is>
          <t>RICE-2</t>
        </is>
      </c>
      <c r="H5361" s="12" t="inlineStr">
        <is>
          <t>RICE engine-generator 2</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109</v>
      </c>
      <c r="V5361" s="15">
        <f>ROUNDUP((T5361+U5361+2*'Read Me'!$B$13)*(1+'Read Me'!$B$12),-1)</f>
        <v/>
      </c>
      <c r="W5361" s="15">
        <f>V5361*N5361*O5361</f>
        <v/>
      </c>
      <c r="X5361" s="12">
        <f>IF(LEFT(I5361,2)="MV",2*N5361*IF(L5361="1/C",O5361,1),0)</f>
        <v/>
      </c>
      <c r="Y5361" s="12">
        <f>IF(OR(LEFT(K5361,4)="LVAX",LEFT(K5361,6)="MV15AX",LEFT(K5361,4)="CTAX",LEFT(K5361,2)="W|"),2*N5361*O5361,0)</f>
        <v/>
      </c>
      <c r="Z5361" s="12" t="inlineStr">
        <is>
          <t>VD 2.9 %</t>
        </is>
      </c>
      <c r="AA5361" s="12">
        <f>N5361*O5361</f>
        <v/>
      </c>
    </row>
    <row r="5362">
      <c r="A5362" s="12" t="inlineStr">
        <is>
          <t>I-P-0183</t>
        </is>
      </c>
      <c r="B5362" s="12" t="inlineStr">
        <is>
          <t>I</t>
        </is>
      </c>
      <c r="C5362" s="12" t="inlineStr">
        <is>
          <t>Modular / portable power</t>
        </is>
      </c>
      <c r="D5362" s="12" t="inlineStr">
        <is>
          <t>480 V welding receptacle 3</t>
        </is>
      </c>
      <c r="E5362" s="12" t="inlineStr"/>
      <c r="F5362" s="12" t="inlineStr">
        <is>
          <t>PCM: power control module</t>
        </is>
      </c>
      <c r="G5362" s="12" t="inlineStr">
        <is>
          <t>RICE-2</t>
        </is>
      </c>
      <c r="H5362" s="12" t="inlineStr">
        <is>
          <t>RICE engine-generator 2</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109</v>
      </c>
      <c r="V5362" s="15">
        <f>ROUNDUP((T5362+U5362+2*'Read Me'!$B$13)*(1+'Read Me'!$B$12),-1)</f>
        <v/>
      </c>
      <c r="W5362" s="15">
        <f>V5362*N5362*O5362</f>
        <v/>
      </c>
      <c r="X5362" s="12">
        <f>IF(LEFT(I5362,2)="MV",2*N5362*IF(L5362="1/C",O5362,1),0)</f>
        <v/>
      </c>
      <c r="Y5362" s="12">
        <f>IF(OR(LEFT(K5362,4)="LVAX",LEFT(K5362,6)="MV15AX",LEFT(K5362,4)="CTAX",LEFT(K5362,2)="W|"),2*N5362*O5362,0)</f>
        <v/>
      </c>
      <c r="Z5362" s="12" t="inlineStr">
        <is>
          <t>VD 2.9 %</t>
        </is>
      </c>
      <c r="AA5362" s="12">
        <f>N5362*O5362</f>
        <v/>
      </c>
    </row>
    <row r="5363">
      <c r="A5363" s="12" t="inlineStr">
        <is>
          <t>I-P-0184</t>
        </is>
      </c>
      <c r="B5363" s="12" t="inlineStr">
        <is>
          <t>I</t>
        </is>
      </c>
      <c r="C5363" s="12" t="inlineStr">
        <is>
          <t>Modular / portable power</t>
        </is>
      </c>
      <c r="D5363" s="12" t="inlineStr">
        <is>
          <t>480 V welding receptacle 4</t>
        </is>
      </c>
      <c r="E5363" s="12" t="inlineStr"/>
      <c r="F5363" s="12" t="inlineStr">
        <is>
          <t>PCM: power control module</t>
        </is>
      </c>
      <c r="G5363" s="12" t="inlineStr">
        <is>
          <t>RICE-2</t>
        </is>
      </c>
      <c r="H5363" s="12" t="inlineStr">
        <is>
          <t>RICE engine-generator 2</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109</v>
      </c>
      <c r="V5363" s="15">
        <f>ROUNDUP((T5363+U5363+2*'Read Me'!$B$13)*(1+'Read Me'!$B$12),-1)</f>
        <v/>
      </c>
      <c r="W5363" s="15">
        <f>V5363*N5363*O5363</f>
        <v/>
      </c>
      <c r="X5363" s="12">
        <f>IF(LEFT(I5363,2)="MV",2*N5363*IF(L5363="1/C",O5363,1),0)</f>
        <v/>
      </c>
      <c r="Y5363" s="12">
        <f>IF(OR(LEFT(K5363,4)="LVAX",LEFT(K5363,6)="MV15AX",LEFT(K5363,4)="CTAX",LEFT(K5363,2)="W|"),2*N5363*O5363,0)</f>
        <v/>
      </c>
      <c r="Z5363" s="12" t="inlineStr">
        <is>
          <t>VD 2.9 %</t>
        </is>
      </c>
      <c r="AA5363" s="12">
        <f>N5363*O5363</f>
        <v/>
      </c>
    </row>
    <row r="5364">
      <c r="A5364" s="12" t="inlineStr">
        <is>
          <t>I-P-0185</t>
        </is>
      </c>
      <c r="B5364" s="12" t="inlineStr">
        <is>
          <t>I</t>
        </is>
      </c>
      <c r="C5364" s="12" t="inlineStr">
        <is>
          <t>Modular / portable power</t>
        </is>
      </c>
      <c r="D5364" s="12" t="inlineStr">
        <is>
          <t>Motor 1 of 6, 22 kW</t>
        </is>
      </c>
      <c r="E5364" s="12" t="inlineStr"/>
      <c r="F5364" s="12" t="inlineStr">
        <is>
          <t>PCM: power control module</t>
        </is>
      </c>
      <c r="G5364" s="12" t="inlineStr">
        <is>
          <t>RICE-3</t>
        </is>
      </c>
      <c r="H5364" s="12" t="inlineStr">
        <is>
          <t>RICE engine-generator 3</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2.3 %</t>
        </is>
      </c>
      <c r="AA5364" s="12">
        <f>N5364*O5364</f>
        <v/>
      </c>
    </row>
    <row r="5365">
      <c r="A5365" s="12" t="inlineStr">
        <is>
          <t>I-P-0186</t>
        </is>
      </c>
      <c r="B5365" s="12" t="inlineStr">
        <is>
          <t>I</t>
        </is>
      </c>
      <c r="C5365" s="12" t="inlineStr">
        <is>
          <t>Modular / portable power</t>
        </is>
      </c>
      <c r="D5365" s="12" t="inlineStr">
        <is>
          <t>Motor 2 of 6, 22 kW</t>
        </is>
      </c>
      <c r="E5365" s="12" t="inlineStr"/>
      <c r="F5365" s="12" t="inlineStr">
        <is>
          <t>PCM: power control module</t>
        </is>
      </c>
      <c r="G5365" s="12" t="inlineStr">
        <is>
          <t>RICE-3</t>
        </is>
      </c>
      <c r="H5365" s="12" t="inlineStr">
        <is>
          <t>RICE engine-generator 3</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2.3 %</t>
        </is>
      </c>
      <c r="AA5365" s="12">
        <f>N5365*O5365</f>
        <v/>
      </c>
    </row>
    <row r="5366">
      <c r="A5366" s="12" t="inlineStr">
        <is>
          <t>I-P-0187</t>
        </is>
      </c>
      <c r="B5366" s="12" t="inlineStr">
        <is>
          <t>I</t>
        </is>
      </c>
      <c r="C5366" s="12" t="inlineStr">
        <is>
          <t>Modular / portable power</t>
        </is>
      </c>
      <c r="D5366" s="12" t="inlineStr">
        <is>
          <t>Motor 3 of 6, 22 kW</t>
        </is>
      </c>
      <c r="E5366" s="12" t="inlineStr"/>
      <c r="F5366" s="12" t="inlineStr">
        <is>
          <t>PCM: power control module</t>
        </is>
      </c>
      <c r="G5366" s="12" t="inlineStr">
        <is>
          <t>RICE-3</t>
        </is>
      </c>
      <c r="H5366" s="12" t="inlineStr">
        <is>
          <t>RICE engine-generator 3</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2.3 %</t>
        </is>
      </c>
      <c r="AA5366" s="12">
        <f>N5366*O5366</f>
        <v/>
      </c>
    </row>
    <row r="5367">
      <c r="A5367" s="12" t="inlineStr">
        <is>
          <t>I-P-0188</t>
        </is>
      </c>
      <c r="B5367" s="12" t="inlineStr">
        <is>
          <t>I</t>
        </is>
      </c>
      <c r="C5367" s="12" t="inlineStr">
        <is>
          <t>Modular / portable power</t>
        </is>
      </c>
      <c r="D5367" s="12" t="inlineStr">
        <is>
          <t>Motor 4 of 6, 22 kW</t>
        </is>
      </c>
      <c r="E5367" s="12" t="inlineStr"/>
      <c r="F5367" s="12" t="inlineStr">
        <is>
          <t>PCM: power control module</t>
        </is>
      </c>
      <c r="G5367" s="12" t="inlineStr">
        <is>
          <t>RICE-3</t>
        </is>
      </c>
      <c r="H5367" s="12" t="inlineStr">
        <is>
          <t>RICE engine-generator 3</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2.3 %</t>
        </is>
      </c>
      <c r="AA5367" s="12">
        <f>N5367*O5367</f>
        <v/>
      </c>
    </row>
    <row r="5368">
      <c r="A5368" s="12" t="inlineStr">
        <is>
          <t>I-P-0189</t>
        </is>
      </c>
      <c r="B5368" s="12" t="inlineStr">
        <is>
          <t>I</t>
        </is>
      </c>
      <c r="C5368" s="12" t="inlineStr">
        <is>
          <t>Modular / portable power</t>
        </is>
      </c>
      <c r="D5368" s="12" t="inlineStr">
        <is>
          <t>Motor 5 of 6, 22 kW</t>
        </is>
      </c>
      <c r="E5368" s="12" t="inlineStr"/>
      <c r="F5368" s="12" t="inlineStr">
        <is>
          <t>PCM: power control module</t>
        </is>
      </c>
      <c r="G5368" s="12" t="inlineStr">
        <is>
          <t>RICE-3</t>
        </is>
      </c>
      <c r="H5368" s="12" t="inlineStr">
        <is>
          <t>RICE engine-generator 3</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2.3 %</t>
        </is>
      </c>
      <c r="AA5368" s="12">
        <f>N5368*O5368</f>
        <v/>
      </c>
    </row>
    <row r="5369">
      <c r="A5369" s="12" t="inlineStr">
        <is>
          <t>I-P-0190</t>
        </is>
      </c>
      <c r="B5369" s="12" t="inlineStr">
        <is>
          <t>I</t>
        </is>
      </c>
      <c r="C5369" s="12" t="inlineStr">
        <is>
          <t>Modular / portable power</t>
        </is>
      </c>
      <c r="D5369" s="12" t="inlineStr">
        <is>
          <t>Motor 6 of 6, 22 kW</t>
        </is>
      </c>
      <c r="E5369" s="12" t="inlineStr"/>
      <c r="F5369" s="12" t="inlineStr">
        <is>
          <t>PCM: power control module</t>
        </is>
      </c>
      <c r="G5369" s="12" t="inlineStr">
        <is>
          <t>RICE-3</t>
        </is>
      </c>
      <c r="H5369" s="12" t="inlineStr">
        <is>
          <t>RICE engine-generator 3</t>
        </is>
      </c>
      <c r="I5369" s="12" t="inlineStr">
        <is>
          <t>LV 600 V</t>
        </is>
      </c>
      <c r="J5369" s="12" t="inlineStr">
        <is>
          <t>Type TC-ER 600 V 3/C Cu XHHW-2 + ground, PVC jacket</t>
        </is>
      </c>
      <c r="K5369" s="12" t="inlineStr">
        <is>
          <t>LV|3/C+G|4</t>
        </is>
      </c>
      <c r="L5369" s="12" t="inlineStr">
        <is>
          <t>3/C+G</t>
        </is>
      </c>
      <c r="M5369" s="12" t="inlineStr">
        <is>
          <t>4</t>
        </is>
      </c>
      <c r="N5369" s="12" t="n">
        <v>1</v>
      </c>
      <c r="O5369" s="12" t="n">
        <v>1</v>
      </c>
      <c r="P5369" s="12" t="n">
        <v>480</v>
      </c>
      <c r="Q5369" s="12" t="n">
        <v>22</v>
      </c>
      <c r="R5369" s="12" t="n">
        <v>31.1</v>
      </c>
      <c r="S5369" s="12" t="inlineStr">
        <is>
          <t>Duct bank</t>
        </is>
      </c>
      <c r="T5369" s="15" t="n">
        <v>516</v>
      </c>
      <c r="U5369" s="15" t="n">
        <v>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2.3 %</t>
        </is>
      </c>
      <c r="AA5369" s="12">
        <f>N5369*O5369</f>
        <v/>
      </c>
    </row>
    <row r="5370">
      <c r="A5370" s="12" t="inlineStr">
        <is>
          <t>I-P-0191</t>
        </is>
      </c>
      <c r="B5370" s="12" t="inlineStr">
        <is>
          <t>I</t>
        </is>
      </c>
      <c r="C5370" s="12" t="inlineStr">
        <is>
          <t>Modular / portable power</t>
        </is>
      </c>
      <c r="D5370" s="12" t="inlineStr">
        <is>
          <t>480 V welding receptacle 1</t>
        </is>
      </c>
      <c r="E5370" s="12" t="inlineStr"/>
      <c r="F5370" s="12" t="inlineStr">
        <is>
          <t>PCM: power control module</t>
        </is>
      </c>
      <c r="G5370" s="12" t="inlineStr">
        <is>
          <t>RICE-3</t>
        </is>
      </c>
      <c r="H5370" s="12" t="inlineStr">
        <is>
          <t>RICE engine-generator 3</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81</v>
      </c>
      <c r="V5370" s="15">
        <f>ROUNDUP((T5370+U5370+2*'Read Me'!$B$13)*(1+'Read Me'!$B$12),-1)</f>
        <v/>
      </c>
      <c r="W5370" s="15">
        <f>V5370*N5370*O5370</f>
        <v/>
      </c>
      <c r="X5370" s="12">
        <f>IF(LEFT(I5370,2)="MV",2*N5370*IF(L5370="1/C",O5370,1),0)</f>
        <v/>
      </c>
      <c r="Y5370" s="12">
        <f>IF(OR(LEFT(K5370,4)="LVAX",LEFT(K5370,6)="MV15AX",LEFT(K5370,4)="CTAX",LEFT(K5370,2)="W|"),2*N5370*O5370,0)</f>
        <v/>
      </c>
      <c r="Z5370" s="12" t="inlineStr">
        <is>
          <t>VD 2.8 %</t>
        </is>
      </c>
      <c r="AA5370" s="12">
        <f>N5370*O5370</f>
        <v/>
      </c>
    </row>
    <row r="5371">
      <c r="A5371" s="12" t="inlineStr">
        <is>
          <t>I-P-0192</t>
        </is>
      </c>
      <c r="B5371" s="12" t="inlineStr">
        <is>
          <t>I</t>
        </is>
      </c>
      <c r="C5371" s="12" t="inlineStr">
        <is>
          <t>Modular / portable power</t>
        </is>
      </c>
      <c r="D5371" s="12" t="inlineStr">
        <is>
          <t>480 V welding receptacle 2</t>
        </is>
      </c>
      <c r="E5371" s="12" t="inlineStr"/>
      <c r="F5371" s="12" t="inlineStr">
        <is>
          <t>PCM: power control module</t>
        </is>
      </c>
      <c r="G5371" s="12" t="inlineStr">
        <is>
          <t>RICE-3</t>
        </is>
      </c>
      <c r="H5371" s="12" t="inlineStr">
        <is>
          <t>RICE engine-generator 3</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81</v>
      </c>
      <c r="V5371" s="15">
        <f>ROUNDUP((T5371+U5371+2*'Read Me'!$B$13)*(1+'Read Me'!$B$12),-1)</f>
        <v/>
      </c>
      <c r="W5371" s="15">
        <f>V5371*N5371*O5371</f>
        <v/>
      </c>
      <c r="X5371" s="12">
        <f>IF(LEFT(I5371,2)="MV",2*N5371*IF(L5371="1/C",O5371,1),0)</f>
        <v/>
      </c>
      <c r="Y5371" s="12">
        <f>IF(OR(LEFT(K5371,4)="LVAX",LEFT(K5371,6)="MV15AX",LEFT(K5371,4)="CTAX",LEFT(K5371,2)="W|"),2*N5371*O5371,0)</f>
        <v/>
      </c>
      <c r="Z5371" s="12" t="inlineStr">
        <is>
          <t>VD 2.8 %</t>
        </is>
      </c>
      <c r="AA5371" s="12">
        <f>N5371*O5371</f>
        <v/>
      </c>
    </row>
    <row r="5372">
      <c r="A5372" s="12" t="inlineStr">
        <is>
          <t>I-P-0193</t>
        </is>
      </c>
      <c r="B5372" s="12" t="inlineStr">
        <is>
          <t>I</t>
        </is>
      </c>
      <c r="C5372" s="12" t="inlineStr">
        <is>
          <t>Modular / portable power</t>
        </is>
      </c>
      <c r="D5372" s="12" t="inlineStr">
        <is>
          <t>480 V welding receptacle 3</t>
        </is>
      </c>
      <c r="E5372" s="12" t="inlineStr"/>
      <c r="F5372" s="12" t="inlineStr">
        <is>
          <t>PCM: power control module</t>
        </is>
      </c>
      <c r="G5372" s="12" t="inlineStr">
        <is>
          <t>RICE-3</t>
        </is>
      </c>
      <c r="H5372" s="12" t="inlineStr">
        <is>
          <t>RICE engine-generator 3</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81</v>
      </c>
      <c r="V5372" s="15">
        <f>ROUNDUP((T5372+U5372+2*'Read Me'!$B$13)*(1+'Read Me'!$B$12),-1)</f>
        <v/>
      </c>
      <c r="W5372" s="15">
        <f>V5372*N5372*O5372</f>
        <v/>
      </c>
      <c r="X5372" s="12">
        <f>IF(LEFT(I5372,2)="MV",2*N5372*IF(L5372="1/C",O5372,1),0)</f>
        <v/>
      </c>
      <c r="Y5372" s="12">
        <f>IF(OR(LEFT(K5372,4)="LVAX",LEFT(K5372,6)="MV15AX",LEFT(K5372,4)="CTAX",LEFT(K5372,2)="W|"),2*N5372*O5372,0)</f>
        <v/>
      </c>
      <c r="Z5372" s="12" t="inlineStr">
        <is>
          <t>VD 2.8 %</t>
        </is>
      </c>
      <c r="AA5372" s="12">
        <f>N5372*O5372</f>
        <v/>
      </c>
    </row>
    <row r="5373">
      <c r="A5373" s="12" t="inlineStr">
        <is>
          <t>I-P-0194</t>
        </is>
      </c>
      <c r="B5373" s="12" t="inlineStr">
        <is>
          <t>I</t>
        </is>
      </c>
      <c r="C5373" s="12" t="inlineStr">
        <is>
          <t>Modular / portable power</t>
        </is>
      </c>
      <c r="D5373" s="12" t="inlineStr">
        <is>
          <t>480 V welding receptacle 4</t>
        </is>
      </c>
      <c r="E5373" s="12" t="inlineStr"/>
      <c r="F5373" s="12" t="inlineStr">
        <is>
          <t>PCM: power control module</t>
        </is>
      </c>
      <c r="G5373" s="12" t="inlineStr">
        <is>
          <t>RICE-3</t>
        </is>
      </c>
      <c r="H5373" s="12" t="inlineStr">
        <is>
          <t>RICE engine-generator 3</t>
        </is>
      </c>
      <c r="I5373" s="12" t="inlineStr">
        <is>
          <t>LV 600 V</t>
        </is>
      </c>
      <c r="J5373" s="12" t="inlineStr">
        <is>
          <t>Type TC-ER 600 V 3/C Cu XHHW-2 + ground, PVC jacket</t>
        </is>
      </c>
      <c r="K5373" s="12" t="inlineStr">
        <is>
          <t>LV|3/C+G|1</t>
        </is>
      </c>
      <c r="L5373" s="12" t="inlineStr">
        <is>
          <t>3/C+G</t>
        </is>
      </c>
      <c r="M5373" s="12" t="inlineStr">
        <is>
          <t>1</t>
        </is>
      </c>
      <c r="N5373" s="12" t="n">
        <v>1</v>
      </c>
      <c r="O5373" s="12" t="n">
        <v>1</v>
      </c>
      <c r="P5373" s="12" t="n">
        <v>480</v>
      </c>
      <c r="Q5373" s="12" t="n">
        <v>60</v>
      </c>
      <c r="R5373" s="12" t="n">
        <v>76</v>
      </c>
      <c r="S5373" s="12" t="inlineStr">
        <is>
          <t>Duct bank</t>
        </is>
      </c>
      <c r="T5373" s="15" t="n">
        <v>516</v>
      </c>
      <c r="U5373" s="15" t="n">
        <v>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2.8 %</t>
        </is>
      </c>
      <c r="AA5373" s="12">
        <f>N5373*O5373</f>
        <v/>
      </c>
    </row>
    <row r="5374">
      <c r="A5374" s="12" t="inlineStr">
        <is>
          <t>I-P-0195</t>
        </is>
      </c>
      <c r="B5374" s="12" t="inlineStr">
        <is>
          <t>I</t>
        </is>
      </c>
      <c r="C5374" s="12" t="inlineStr">
        <is>
          <t>Modular / portable power</t>
        </is>
      </c>
      <c r="D5374" s="12" t="inlineStr">
        <is>
          <t>Motor 1 of 6, 22 kW</t>
        </is>
      </c>
      <c r="E5374" s="12" t="inlineStr"/>
      <c r="F5374" s="12" t="inlineStr">
        <is>
          <t>PCM: power control module</t>
        </is>
      </c>
      <c r="G5374" s="12" t="inlineStr">
        <is>
          <t>RICE-4</t>
        </is>
      </c>
      <c r="H5374" s="12" t="inlineStr">
        <is>
          <t>RICE engine-generator 4</t>
        </is>
      </c>
      <c r="I5374" s="12" t="inlineStr">
        <is>
          <t>LV 600 V</t>
        </is>
      </c>
      <c r="J5374" s="12" t="inlineStr">
        <is>
          <t>Type TC-ER 600 V 3/C Cu XHHW-2 + ground, PVC jacket</t>
        </is>
      </c>
      <c r="K5374" s="12" t="inlineStr">
        <is>
          <t>LV|3/C+G|4</t>
        </is>
      </c>
      <c r="L5374" s="12" t="inlineStr">
        <is>
          <t>3/C+G</t>
        </is>
      </c>
      <c r="M5374" s="12" t="inlineStr">
        <is>
          <t>4</t>
        </is>
      </c>
      <c r="N5374" s="12" t="n">
        <v>1</v>
      </c>
      <c r="O5374" s="12" t="n">
        <v>1</v>
      </c>
      <c r="P5374" s="12" t="n">
        <v>480</v>
      </c>
      <c r="Q5374" s="12" t="n">
        <v>22</v>
      </c>
      <c r="R5374" s="12" t="n">
        <v>31.1</v>
      </c>
      <c r="S5374" s="12" t="inlineStr">
        <is>
          <t>Duct bank</t>
        </is>
      </c>
      <c r="T5374" s="15" t="n">
        <v>516</v>
      </c>
      <c r="U5374" s="15" t="n">
        <v>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I-P-0196</t>
        </is>
      </c>
      <c r="B5375" s="12" t="inlineStr">
        <is>
          <t>I</t>
        </is>
      </c>
      <c r="C5375" s="12" t="inlineStr">
        <is>
          <t>Modular / portable power</t>
        </is>
      </c>
      <c r="D5375" s="12" t="inlineStr">
        <is>
          <t>Motor 2 of 6, 22 kW</t>
        </is>
      </c>
      <c r="E5375" s="12" t="inlineStr"/>
      <c r="F5375" s="12" t="inlineStr">
        <is>
          <t>PCM: power control module</t>
        </is>
      </c>
      <c r="G5375" s="12" t="inlineStr">
        <is>
          <t>RICE-4</t>
        </is>
      </c>
      <c r="H5375" s="12" t="inlineStr">
        <is>
          <t>RICE engine-generator 4</t>
        </is>
      </c>
      <c r="I5375" s="12" t="inlineStr">
        <is>
          <t>LV 600 V</t>
        </is>
      </c>
      <c r="J5375" s="12" t="inlineStr">
        <is>
          <t>Type TC-ER 600 V 3/C Cu XHHW-2 + ground, PVC jacket</t>
        </is>
      </c>
      <c r="K5375" s="12" t="inlineStr">
        <is>
          <t>LV|3/C+G|4</t>
        </is>
      </c>
      <c r="L5375" s="12" t="inlineStr">
        <is>
          <t>3/C+G</t>
        </is>
      </c>
      <c r="M5375" s="12" t="inlineStr">
        <is>
          <t>4</t>
        </is>
      </c>
      <c r="N5375" s="12" t="n">
        <v>1</v>
      </c>
      <c r="O5375" s="12" t="n">
        <v>1</v>
      </c>
      <c r="P5375" s="12" t="n">
        <v>480</v>
      </c>
      <c r="Q5375" s="12" t="n">
        <v>22</v>
      </c>
      <c r="R5375" s="12" t="n">
        <v>31.1</v>
      </c>
      <c r="S5375" s="12" t="inlineStr">
        <is>
          <t>Duct bank</t>
        </is>
      </c>
      <c r="T5375" s="15" t="n">
        <v>516</v>
      </c>
      <c r="U5375" s="15" t="n">
        <v>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I-P-0197</t>
        </is>
      </c>
      <c r="B5376" s="12" t="inlineStr">
        <is>
          <t>I</t>
        </is>
      </c>
      <c r="C5376" s="12" t="inlineStr">
        <is>
          <t>Modular / portable power</t>
        </is>
      </c>
      <c r="D5376" s="12" t="inlineStr">
        <is>
          <t>Motor 3 of 6, 22 kW</t>
        </is>
      </c>
      <c r="E5376" s="12" t="inlineStr"/>
      <c r="F5376" s="12" t="inlineStr">
        <is>
          <t>PCM: power control module</t>
        </is>
      </c>
      <c r="G5376" s="12" t="inlineStr">
        <is>
          <t>RICE-4</t>
        </is>
      </c>
      <c r="H5376" s="12" t="inlineStr">
        <is>
          <t>RICE engine-generator 4</t>
        </is>
      </c>
      <c r="I5376" s="12" t="inlineStr">
        <is>
          <t>LV 600 V</t>
        </is>
      </c>
      <c r="J5376" s="12" t="inlineStr">
        <is>
          <t>Type TC-ER 600 V 3/C Cu XHHW-2 + ground, PVC jacket</t>
        </is>
      </c>
      <c r="K5376" s="12" t="inlineStr">
        <is>
          <t>LV|3/C+G|4</t>
        </is>
      </c>
      <c r="L5376" s="12" t="inlineStr">
        <is>
          <t>3/C+G</t>
        </is>
      </c>
      <c r="M5376" s="12" t="inlineStr">
        <is>
          <t>4</t>
        </is>
      </c>
      <c r="N5376" s="12" t="n">
        <v>1</v>
      </c>
      <c r="O5376" s="12" t="n">
        <v>1</v>
      </c>
      <c r="P5376" s="12" t="n">
        <v>480</v>
      </c>
      <c r="Q5376" s="12" t="n">
        <v>22</v>
      </c>
      <c r="R5376" s="12" t="n">
        <v>31.1</v>
      </c>
      <c r="S5376" s="12" t="inlineStr">
        <is>
          <t>Duct bank</t>
        </is>
      </c>
      <c r="T5376" s="15" t="n">
        <v>516</v>
      </c>
      <c r="U5376" s="15" t="n">
        <v>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I-P-0198</t>
        </is>
      </c>
      <c r="B5377" s="12" t="inlineStr">
        <is>
          <t>I</t>
        </is>
      </c>
      <c r="C5377" s="12" t="inlineStr">
        <is>
          <t>Modular / portable power</t>
        </is>
      </c>
      <c r="D5377" s="12" t="inlineStr">
        <is>
          <t>Motor 4 of 6, 22 kW</t>
        </is>
      </c>
      <c r="E5377" s="12" t="inlineStr"/>
      <c r="F5377" s="12" t="inlineStr">
        <is>
          <t>PCM: power control module</t>
        </is>
      </c>
      <c r="G5377" s="12" t="inlineStr">
        <is>
          <t>RICE-4</t>
        </is>
      </c>
      <c r="H5377" s="12" t="inlineStr">
        <is>
          <t>RICE engine-generator 4</t>
        </is>
      </c>
      <c r="I5377" s="12" t="inlineStr">
        <is>
          <t>LV 600 V</t>
        </is>
      </c>
      <c r="J5377" s="12" t="inlineStr">
        <is>
          <t>Type TC-ER 600 V 3/C Cu XHHW-2 + ground, PVC jacket</t>
        </is>
      </c>
      <c r="K5377" s="12" t="inlineStr">
        <is>
          <t>LV|3/C+G|4</t>
        </is>
      </c>
      <c r="L5377" s="12" t="inlineStr">
        <is>
          <t>3/C+G</t>
        </is>
      </c>
      <c r="M5377" s="12" t="inlineStr">
        <is>
          <t>4</t>
        </is>
      </c>
      <c r="N5377" s="12" t="n">
        <v>1</v>
      </c>
      <c r="O5377" s="12" t="n">
        <v>1</v>
      </c>
      <c r="P5377" s="12" t="n">
        <v>480</v>
      </c>
      <c r="Q5377" s="12" t="n">
        <v>22</v>
      </c>
      <c r="R5377" s="12" t="n">
        <v>31.1</v>
      </c>
      <c r="S5377" s="12" t="inlineStr">
        <is>
          <t>Duct bank</t>
        </is>
      </c>
      <c r="T5377" s="15" t="n">
        <v>516</v>
      </c>
      <c r="U5377" s="15" t="n">
        <v>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I-P-0199</t>
        </is>
      </c>
      <c r="B5378" s="12" t="inlineStr">
        <is>
          <t>I</t>
        </is>
      </c>
      <c r="C5378" s="12" t="inlineStr">
        <is>
          <t>Modular / portable power</t>
        </is>
      </c>
      <c r="D5378" s="12" t="inlineStr">
        <is>
          <t>Motor 5 of 6, 22 kW</t>
        </is>
      </c>
      <c r="E5378" s="12" t="inlineStr"/>
      <c r="F5378" s="12" t="inlineStr">
        <is>
          <t>PCM: power control module</t>
        </is>
      </c>
      <c r="G5378" s="12" t="inlineStr">
        <is>
          <t>RICE-4</t>
        </is>
      </c>
      <c r="H5378" s="12" t="inlineStr">
        <is>
          <t>RICE engine-generator 4</t>
        </is>
      </c>
      <c r="I5378" s="12" t="inlineStr">
        <is>
          <t>LV 600 V</t>
        </is>
      </c>
      <c r="J5378" s="12" t="inlineStr">
        <is>
          <t>Type TC-ER 600 V 3/C Cu XHHW-2 + ground, PVC jacket</t>
        </is>
      </c>
      <c r="K5378" s="12" t="inlineStr">
        <is>
          <t>LV|3/C+G|4</t>
        </is>
      </c>
      <c r="L5378" s="12" t="inlineStr">
        <is>
          <t>3/C+G</t>
        </is>
      </c>
      <c r="M5378" s="12" t="inlineStr">
        <is>
          <t>4</t>
        </is>
      </c>
      <c r="N5378" s="12" t="n">
        <v>1</v>
      </c>
      <c r="O5378" s="12" t="n">
        <v>1</v>
      </c>
      <c r="P5378" s="12" t="n">
        <v>480</v>
      </c>
      <c r="Q5378" s="12" t="n">
        <v>22</v>
      </c>
      <c r="R5378" s="12" t="n">
        <v>31.1</v>
      </c>
      <c r="S5378" s="12" t="inlineStr">
        <is>
          <t>Duct bank</t>
        </is>
      </c>
      <c r="T5378" s="15" t="n">
        <v>516</v>
      </c>
      <c r="U5378" s="15" t="n">
        <v>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I-P-0200</t>
        </is>
      </c>
      <c r="B5379" s="12" t="inlineStr">
        <is>
          <t>I</t>
        </is>
      </c>
      <c r="C5379" s="12" t="inlineStr">
        <is>
          <t>Modular / portable power</t>
        </is>
      </c>
      <c r="D5379" s="12" t="inlineStr">
        <is>
          <t>Motor 6 of 6, 22 kW</t>
        </is>
      </c>
      <c r="E5379" s="12" t="inlineStr"/>
      <c r="F5379" s="12" t="inlineStr">
        <is>
          <t>PCM: power control module</t>
        </is>
      </c>
      <c r="G5379" s="12" t="inlineStr">
        <is>
          <t>RICE-4</t>
        </is>
      </c>
      <c r="H5379" s="12" t="inlineStr">
        <is>
          <t>RICE engine-generator 4</t>
        </is>
      </c>
      <c r="I5379" s="12" t="inlineStr">
        <is>
          <t>LV 600 V</t>
        </is>
      </c>
      <c r="J5379" s="12" t="inlineStr">
        <is>
          <t>Type TC-ER 600 V 3/C Cu XHHW-2 + ground, PVC jacket</t>
        </is>
      </c>
      <c r="K5379" s="12" t="inlineStr">
        <is>
          <t>LV|3/C+G|4</t>
        </is>
      </c>
      <c r="L5379" s="12" t="inlineStr">
        <is>
          <t>3/C+G</t>
        </is>
      </c>
      <c r="M5379" s="12" t="inlineStr">
        <is>
          <t>4</t>
        </is>
      </c>
      <c r="N5379" s="12" t="n">
        <v>1</v>
      </c>
      <c r="O5379" s="12" t="n">
        <v>1</v>
      </c>
      <c r="P5379" s="12" t="n">
        <v>480</v>
      </c>
      <c r="Q5379" s="12" t="n">
        <v>22</v>
      </c>
      <c r="R5379" s="12" t="n">
        <v>31.1</v>
      </c>
      <c r="S5379" s="12" t="inlineStr">
        <is>
          <t>Duct bank</t>
        </is>
      </c>
      <c r="T5379" s="15" t="n">
        <v>516</v>
      </c>
      <c r="U5379" s="15" t="n">
        <v>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2.2 %</t>
        </is>
      </c>
      <c r="AA5379" s="12">
        <f>N5379*O5379</f>
        <v/>
      </c>
    </row>
    <row r="5380">
      <c r="A5380" s="12" t="inlineStr">
        <is>
          <t>I-P-0201</t>
        </is>
      </c>
      <c r="B5380" s="12" t="inlineStr">
        <is>
          <t>I</t>
        </is>
      </c>
      <c r="C5380" s="12" t="inlineStr">
        <is>
          <t>Modular / portable power</t>
        </is>
      </c>
      <c r="D5380" s="12" t="inlineStr">
        <is>
          <t>480 V welding receptacle 1</t>
        </is>
      </c>
      <c r="E5380" s="12" t="inlineStr"/>
      <c r="F5380" s="12" t="inlineStr">
        <is>
          <t>PCM: power control module</t>
        </is>
      </c>
      <c r="G5380" s="12" t="inlineStr">
        <is>
          <t>RICE-4</t>
        </is>
      </c>
      <c r="H5380" s="12" t="inlineStr">
        <is>
          <t>RICE engine-generator 4</t>
        </is>
      </c>
      <c r="I5380" s="12" t="inlineStr">
        <is>
          <t>LV 600 V</t>
        </is>
      </c>
      <c r="J5380" s="12" t="inlineStr">
        <is>
          <t>Type TC-ER 600 V 3/C Cu XHHW-2 + ground, PVC jacket</t>
        </is>
      </c>
      <c r="K5380" s="12" t="inlineStr">
        <is>
          <t>LV|3/C+G|1</t>
        </is>
      </c>
      <c r="L5380" s="12" t="inlineStr">
        <is>
          <t>3/C+G</t>
        </is>
      </c>
      <c r="M5380" s="12" t="inlineStr">
        <is>
          <t>1</t>
        </is>
      </c>
      <c r="N5380" s="12" t="n">
        <v>1</v>
      </c>
      <c r="O5380" s="12" t="n">
        <v>1</v>
      </c>
      <c r="P5380" s="12" t="n">
        <v>480</v>
      </c>
      <c r="Q5380" s="12" t="n">
        <v>60</v>
      </c>
      <c r="R5380" s="12" t="n">
        <v>76</v>
      </c>
      <c r="S5380" s="12" t="inlineStr">
        <is>
          <t>Duct bank</t>
        </is>
      </c>
      <c r="T5380" s="15" t="n">
        <v>516</v>
      </c>
      <c r="U5380" s="15" t="n">
        <v>53</v>
      </c>
      <c r="V5380" s="15">
        <f>ROUNDUP((T5380+U5380+2*'Read Me'!$B$13)*(1+'Read Me'!$B$12),-1)</f>
        <v/>
      </c>
      <c r="W5380" s="15">
        <f>V5380*N5380*O5380</f>
        <v/>
      </c>
      <c r="X5380" s="12">
        <f>IF(LEFT(I5380,2)="MV",2*N5380*IF(L5380="1/C",O5380,1),0)</f>
        <v/>
      </c>
      <c r="Y5380" s="12">
        <f>IF(OR(LEFT(K5380,4)="LVAX",LEFT(K5380,6)="MV15AX",LEFT(K5380,4)="CTAX",LEFT(K5380,2)="W|"),2*N5380*O5380,0)</f>
        <v/>
      </c>
      <c r="Z5380" s="12" t="inlineStr">
        <is>
          <t>VD 2.6 %</t>
        </is>
      </c>
      <c r="AA5380" s="12">
        <f>N5380*O5380</f>
        <v/>
      </c>
    </row>
    <row r="5381">
      <c r="A5381" s="12" t="inlineStr">
        <is>
          <t>I-P-0202</t>
        </is>
      </c>
      <c r="B5381" s="12" t="inlineStr">
        <is>
          <t>I</t>
        </is>
      </c>
      <c r="C5381" s="12" t="inlineStr">
        <is>
          <t>Modular / portable power</t>
        </is>
      </c>
      <c r="D5381" s="12" t="inlineStr">
        <is>
          <t>480 V welding receptacle 2</t>
        </is>
      </c>
      <c r="E5381" s="12" t="inlineStr"/>
      <c r="F5381" s="12" t="inlineStr">
        <is>
          <t>PCM: power control module</t>
        </is>
      </c>
      <c r="G5381" s="12" t="inlineStr">
        <is>
          <t>RICE-4</t>
        </is>
      </c>
      <c r="H5381" s="12" t="inlineStr">
        <is>
          <t>RICE engine-generator 4</t>
        </is>
      </c>
      <c r="I5381" s="12" t="inlineStr">
        <is>
          <t>LV 600 V</t>
        </is>
      </c>
      <c r="J5381" s="12" t="inlineStr">
        <is>
          <t>Type TC-ER 600 V 3/C Cu XHHW-2 + ground, PVC jacket</t>
        </is>
      </c>
      <c r="K5381" s="12" t="inlineStr">
        <is>
          <t>LV|3/C+G|1</t>
        </is>
      </c>
      <c r="L5381" s="12" t="inlineStr">
        <is>
          <t>3/C+G</t>
        </is>
      </c>
      <c r="M5381" s="12" t="inlineStr">
        <is>
          <t>1</t>
        </is>
      </c>
      <c r="N5381" s="12" t="n">
        <v>1</v>
      </c>
      <c r="O5381" s="12" t="n">
        <v>1</v>
      </c>
      <c r="P5381" s="12" t="n">
        <v>480</v>
      </c>
      <c r="Q5381" s="12" t="n">
        <v>60</v>
      </c>
      <c r="R5381" s="12" t="n">
        <v>76</v>
      </c>
      <c r="S5381" s="12" t="inlineStr">
        <is>
          <t>Duct bank</t>
        </is>
      </c>
      <c r="T5381" s="15" t="n">
        <v>516</v>
      </c>
      <c r="U5381" s="15" t="n">
        <v>53</v>
      </c>
      <c r="V5381" s="15">
        <f>ROUNDUP((T5381+U5381+2*'Read Me'!$B$13)*(1+'Read Me'!$B$12),-1)</f>
        <v/>
      </c>
      <c r="W5381" s="15">
        <f>V5381*N5381*O5381</f>
        <v/>
      </c>
      <c r="X5381" s="12">
        <f>IF(LEFT(I5381,2)="MV",2*N5381*IF(L5381="1/C",O5381,1),0)</f>
        <v/>
      </c>
      <c r="Y5381" s="12">
        <f>IF(OR(LEFT(K5381,4)="LVAX",LEFT(K5381,6)="MV15AX",LEFT(K5381,4)="CTAX",LEFT(K5381,2)="W|"),2*N5381*O5381,0)</f>
        <v/>
      </c>
      <c r="Z5381" s="12" t="inlineStr">
        <is>
          <t>VD 2.6 %</t>
        </is>
      </c>
      <c r="AA5381" s="12">
        <f>N5381*O5381</f>
        <v/>
      </c>
    </row>
    <row r="5382">
      <c r="A5382" s="12" t="inlineStr">
        <is>
          <t>I-P-0203</t>
        </is>
      </c>
      <c r="B5382" s="12" t="inlineStr">
        <is>
          <t>I</t>
        </is>
      </c>
      <c r="C5382" s="12" t="inlineStr">
        <is>
          <t>Modular / portable power</t>
        </is>
      </c>
      <c r="D5382" s="12" t="inlineStr">
        <is>
          <t>480 V welding receptacle 3</t>
        </is>
      </c>
      <c r="E5382" s="12" t="inlineStr"/>
      <c r="F5382" s="12" t="inlineStr">
        <is>
          <t>PCM: power control module</t>
        </is>
      </c>
      <c r="G5382" s="12" t="inlineStr">
        <is>
          <t>RICE-4</t>
        </is>
      </c>
      <c r="H5382" s="12" t="inlineStr">
        <is>
          <t>RICE engine-generator 4</t>
        </is>
      </c>
      <c r="I5382" s="12" t="inlineStr">
        <is>
          <t>LV 600 V</t>
        </is>
      </c>
      <c r="J5382" s="12" t="inlineStr">
        <is>
          <t>Type TC-ER 600 V 3/C Cu XHHW-2 + ground, PVC jacket</t>
        </is>
      </c>
      <c r="K5382" s="12" t="inlineStr">
        <is>
          <t>LV|3/C+G|1</t>
        </is>
      </c>
      <c r="L5382" s="12" t="inlineStr">
        <is>
          <t>3/C+G</t>
        </is>
      </c>
      <c r="M5382" s="12" t="inlineStr">
        <is>
          <t>1</t>
        </is>
      </c>
      <c r="N5382" s="12" t="n">
        <v>1</v>
      </c>
      <c r="O5382" s="12" t="n">
        <v>1</v>
      </c>
      <c r="P5382" s="12" t="n">
        <v>480</v>
      </c>
      <c r="Q5382" s="12" t="n">
        <v>60</v>
      </c>
      <c r="R5382" s="12" t="n">
        <v>76</v>
      </c>
      <c r="S5382" s="12" t="inlineStr">
        <is>
          <t>Duct bank</t>
        </is>
      </c>
      <c r="T5382" s="15" t="n">
        <v>516</v>
      </c>
      <c r="U5382" s="15" t="n">
        <v>53</v>
      </c>
      <c r="V5382" s="15">
        <f>ROUNDUP((T5382+U5382+2*'Read Me'!$B$13)*(1+'Read Me'!$B$12),-1)</f>
        <v/>
      </c>
      <c r="W5382" s="15">
        <f>V5382*N5382*O5382</f>
        <v/>
      </c>
      <c r="X5382" s="12">
        <f>IF(LEFT(I5382,2)="MV",2*N5382*IF(L5382="1/C",O5382,1),0)</f>
        <v/>
      </c>
      <c r="Y5382" s="12">
        <f>IF(OR(LEFT(K5382,4)="LVAX",LEFT(K5382,6)="MV15AX",LEFT(K5382,4)="CTAX",LEFT(K5382,2)="W|"),2*N5382*O5382,0)</f>
        <v/>
      </c>
      <c r="Z5382" s="12" t="inlineStr">
        <is>
          <t>VD 2.6 %</t>
        </is>
      </c>
      <c r="AA5382" s="12">
        <f>N5382*O5382</f>
        <v/>
      </c>
    </row>
    <row r="5383">
      <c r="A5383" s="12" t="inlineStr">
        <is>
          <t>I-P-0204</t>
        </is>
      </c>
      <c r="B5383" s="12" t="inlineStr">
        <is>
          <t>I</t>
        </is>
      </c>
      <c r="C5383" s="12" t="inlineStr">
        <is>
          <t>Modular / portable power</t>
        </is>
      </c>
      <c r="D5383" s="12" t="inlineStr">
        <is>
          <t>480 V welding receptacle 4</t>
        </is>
      </c>
      <c r="E5383" s="12" t="inlineStr"/>
      <c r="F5383" s="12" t="inlineStr">
        <is>
          <t>PCM: power control module</t>
        </is>
      </c>
      <c r="G5383" s="12" t="inlineStr">
        <is>
          <t>RICE-4</t>
        </is>
      </c>
      <c r="H5383" s="12" t="inlineStr">
        <is>
          <t>RICE engine-generator 4</t>
        </is>
      </c>
      <c r="I5383" s="12" t="inlineStr">
        <is>
          <t>LV 600 V</t>
        </is>
      </c>
      <c r="J5383" s="12" t="inlineStr">
        <is>
          <t>Type TC-ER 600 V 3/C Cu XHHW-2 + ground, PVC jacket</t>
        </is>
      </c>
      <c r="K5383" s="12" t="inlineStr">
        <is>
          <t>LV|3/C+G|1</t>
        </is>
      </c>
      <c r="L5383" s="12" t="inlineStr">
        <is>
          <t>3/C+G</t>
        </is>
      </c>
      <c r="M5383" s="12" t="inlineStr">
        <is>
          <t>1</t>
        </is>
      </c>
      <c r="N5383" s="12" t="n">
        <v>1</v>
      </c>
      <c r="O5383" s="12" t="n">
        <v>1</v>
      </c>
      <c r="P5383" s="12" t="n">
        <v>480</v>
      </c>
      <c r="Q5383" s="12" t="n">
        <v>60</v>
      </c>
      <c r="R5383" s="12" t="n">
        <v>76</v>
      </c>
      <c r="S5383" s="12" t="inlineStr">
        <is>
          <t>Duct bank</t>
        </is>
      </c>
      <c r="T5383" s="15" t="n">
        <v>516</v>
      </c>
      <c r="U5383" s="15" t="n">
        <v>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2.6 %</t>
        </is>
      </c>
      <c r="AA5383" s="12">
        <f>N5383*O5383</f>
        <v/>
      </c>
    </row>
    <row r="5384">
      <c r="A5384" s="12" t="inlineStr">
        <is>
          <t>I-P-0205</t>
        </is>
      </c>
      <c r="B5384" s="12" t="inlineStr">
        <is>
          <t>I</t>
        </is>
      </c>
      <c r="C5384" s="12" t="inlineStr">
        <is>
          <t>Modular / portable power</t>
        </is>
      </c>
      <c r="D5384" s="12" t="inlineStr">
        <is>
          <t>Motor 1 of 6, 22 kW</t>
        </is>
      </c>
      <c r="E5384" s="12" t="inlineStr"/>
      <c r="F5384" s="12" t="inlineStr">
        <is>
          <t>PCM: power control module</t>
        </is>
      </c>
      <c r="G5384" s="12" t="inlineStr">
        <is>
          <t>RICE-5</t>
        </is>
      </c>
      <c r="H5384" s="12" t="inlineStr">
        <is>
          <t>RICE engine-generator 5</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181</v>
      </c>
      <c r="V5384" s="15">
        <f>ROUNDUP((T5384+U5384+2*'Read Me'!$B$13)*(1+'Read Me'!$B$12),-1)</f>
        <v/>
      </c>
      <c r="W5384" s="15">
        <f>V5384*N5384*O5384</f>
        <v/>
      </c>
      <c r="X5384" s="12">
        <f>IF(LEFT(I5384,2)="MV",2*N5384*IF(L5384="1/C",O5384,1),0)</f>
        <v/>
      </c>
      <c r="Y5384" s="12">
        <f>IF(OR(LEFT(K5384,4)="LVAX",LEFT(K5384,6)="MV15AX",LEFT(K5384,4)="CTAX",LEFT(K5384,2)="W|"),2*N5384*O5384,0)</f>
        <v/>
      </c>
      <c r="Z5384" s="12" t="inlineStr">
        <is>
          <t>VD 2.2 %</t>
        </is>
      </c>
      <c r="AA5384" s="12">
        <f>N5384*O5384</f>
        <v/>
      </c>
    </row>
    <row r="5385">
      <c r="A5385" s="12" t="inlineStr">
        <is>
          <t>I-P-0206</t>
        </is>
      </c>
      <c r="B5385" s="12" t="inlineStr">
        <is>
          <t>I</t>
        </is>
      </c>
      <c r="C5385" s="12" t="inlineStr">
        <is>
          <t>Modular / portable power</t>
        </is>
      </c>
      <c r="D5385" s="12" t="inlineStr">
        <is>
          <t>Motor 2 of 6, 22 kW</t>
        </is>
      </c>
      <c r="E5385" s="12" t="inlineStr"/>
      <c r="F5385" s="12" t="inlineStr">
        <is>
          <t>PCM: power control module</t>
        </is>
      </c>
      <c r="G5385" s="12" t="inlineStr">
        <is>
          <t>RICE-5</t>
        </is>
      </c>
      <c r="H5385" s="12" t="inlineStr">
        <is>
          <t>RICE engine-generator 5</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181</v>
      </c>
      <c r="V5385" s="15">
        <f>ROUNDUP((T5385+U5385+2*'Read Me'!$B$13)*(1+'Read Me'!$B$12),-1)</f>
        <v/>
      </c>
      <c r="W5385" s="15">
        <f>V5385*N5385*O5385</f>
        <v/>
      </c>
      <c r="X5385" s="12">
        <f>IF(LEFT(I5385,2)="MV",2*N5385*IF(L5385="1/C",O5385,1),0)</f>
        <v/>
      </c>
      <c r="Y5385" s="12">
        <f>IF(OR(LEFT(K5385,4)="LVAX",LEFT(K5385,6)="MV15AX",LEFT(K5385,4)="CTAX",LEFT(K5385,2)="W|"),2*N5385*O5385,0)</f>
        <v/>
      </c>
      <c r="Z5385" s="12" t="inlineStr">
        <is>
          <t>VD 2.2 %</t>
        </is>
      </c>
      <c r="AA5385" s="12">
        <f>N5385*O5385</f>
        <v/>
      </c>
    </row>
    <row r="5386">
      <c r="A5386" s="12" t="inlineStr">
        <is>
          <t>I-P-0207</t>
        </is>
      </c>
      <c r="B5386" s="12" t="inlineStr">
        <is>
          <t>I</t>
        </is>
      </c>
      <c r="C5386" s="12" t="inlineStr">
        <is>
          <t>Modular / portable power</t>
        </is>
      </c>
      <c r="D5386" s="12" t="inlineStr">
        <is>
          <t>Motor 3 of 6, 22 kW</t>
        </is>
      </c>
      <c r="E5386" s="12" t="inlineStr"/>
      <c r="F5386" s="12" t="inlineStr">
        <is>
          <t>PCM: power control module</t>
        </is>
      </c>
      <c r="G5386" s="12" t="inlineStr">
        <is>
          <t>RICE-5</t>
        </is>
      </c>
      <c r="H5386" s="12" t="inlineStr">
        <is>
          <t>RICE engine-generator 5</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181</v>
      </c>
      <c r="V5386" s="15">
        <f>ROUNDUP((T5386+U5386+2*'Read Me'!$B$13)*(1+'Read Me'!$B$12),-1)</f>
        <v/>
      </c>
      <c r="W5386" s="15">
        <f>V5386*N5386*O5386</f>
        <v/>
      </c>
      <c r="X5386" s="12">
        <f>IF(LEFT(I5386,2)="MV",2*N5386*IF(L5386="1/C",O5386,1),0)</f>
        <v/>
      </c>
      <c r="Y5386" s="12">
        <f>IF(OR(LEFT(K5386,4)="LVAX",LEFT(K5386,6)="MV15AX",LEFT(K5386,4)="CTAX",LEFT(K5386,2)="W|"),2*N5386*O5386,0)</f>
        <v/>
      </c>
      <c r="Z5386" s="12" t="inlineStr">
        <is>
          <t>VD 2.2 %</t>
        </is>
      </c>
      <c r="AA5386" s="12">
        <f>N5386*O5386</f>
        <v/>
      </c>
    </row>
    <row r="5387">
      <c r="A5387" s="12" t="inlineStr">
        <is>
          <t>I-P-0208</t>
        </is>
      </c>
      <c r="B5387" s="12" t="inlineStr">
        <is>
          <t>I</t>
        </is>
      </c>
      <c r="C5387" s="12" t="inlineStr">
        <is>
          <t>Modular / portable power</t>
        </is>
      </c>
      <c r="D5387" s="12" t="inlineStr">
        <is>
          <t>Motor 4 of 6, 22 kW</t>
        </is>
      </c>
      <c r="E5387" s="12" t="inlineStr"/>
      <c r="F5387" s="12" t="inlineStr">
        <is>
          <t>PCM: power control module</t>
        </is>
      </c>
      <c r="G5387" s="12" t="inlineStr">
        <is>
          <t>RICE-5</t>
        </is>
      </c>
      <c r="H5387" s="12" t="inlineStr">
        <is>
          <t>RICE engine-generator 5</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181</v>
      </c>
      <c r="V5387" s="15">
        <f>ROUNDUP((T5387+U5387+2*'Read Me'!$B$13)*(1+'Read Me'!$B$12),-1)</f>
        <v/>
      </c>
      <c r="W5387" s="15">
        <f>V5387*N5387*O5387</f>
        <v/>
      </c>
      <c r="X5387" s="12">
        <f>IF(LEFT(I5387,2)="MV",2*N5387*IF(L5387="1/C",O5387,1),0)</f>
        <v/>
      </c>
      <c r="Y5387" s="12">
        <f>IF(OR(LEFT(K5387,4)="LVAX",LEFT(K5387,6)="MV15AX",LEFT(K5387,4)="CTAX",LEFT(K5387,2)="W|"),2*N5387*O5387,0)</f>
        <v/>
      </c>
      <c r="Z5387" s="12" t="inlineStr">
        <is>
          <t>VD 2.2 %</t>
        </is>
      </c>
      <c r="AA5387" s="12">
        <f>N5387*O5387</f>
        <v/>
      </c>
    </row>
    <row r="5388">
      <c r="A5388" s="12" t="inlineStr">
        <is>
          <t>I-P-0209</t>
        </is>
      </c>
      <c r="B5388" s="12" t="inlineStr">
        <is>
          <t>I</t>
        </is>
      </c>
      <c r="C5388" s="12" t="inlineStr">
        <is>
          <t>Modular / portable power</t>
        </is>
      </c>
      <c r="D5388" s="12" t="inlineStr">
        <is>
          <t>Motor 5 of 6, 22 kW</t>
        </is>
      </c>
      <c r="E5388" s="12" t="inlineStr"/>
      <c r="F5388" s="12" t="inlineStr">
        <is>
          <t>PCM: power control module</t>
        </is>
      </c>
      <c r="G5388" s="12" t="inlineStr">
        <is>
          <t>RICE-5</t>
        </is>
      </c>
      <c r="H5388" s="12" t="inlineStr">
        <is>
          <t>RICE engine-generator 5</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181</v>
      </c>
      <c r="V5388" s="15">
        <f>ROUNDUP((T5388+U5388+2*'Read Me'!$B$13)*(1+'Read Me'!$B$12),-1)</f>
        <v/>
      </c>
      <c r="W5388" s="15">
        <f>V5388*N5388*O5388</f>
        <v/>
      </c>
      <c r="X5388" s="12">
        <f>IF(LEFT(I5388,2)="MV",2*N5388*IF(L5388="1/C",O5388,1),0)</f>
        <v/>
      </c>
      <c r="Y5388" s="12">
        <f>IF(OR(LEFT(K5388,4)="LVAX",LEFT(K5388,6)="MV15AX",LEFT(K5388,4)="CTAX",LEFT(K5388,2)="W|"),2*N5388*O5388,0)</f>
        <v/>
      </c>
      <c r="Z5388" s="12" t="inlineStr">
        <is>
          <t>VD 2.2 %</t>
        </is>
      </c>
      <c r="AA5388" s="12">
        <f>N5388*O5388</f>
        <v/>
      </c>
    </row>
    <row r="5389">
      <c r="A5389" s="12" t="inlineStr">
        <is>
          <t>I-P-0210</t>
        </is>
      </c>
      <c r="B5389" s="12" t="inlineStr">
        <is>
          <t>I</t>
        </is>
      </c>
      <c r="C5389" s="12" t="inlineStr">
        <is>
          <t>Modular / portable power</t>
        </is>
      </c>
      <c r="D5389" s="12" t="inlineStr">
        <is>
          <t>Motor 6 of 6, 22 kW</t>
        </is>
      </c>
      <c r="E5389" s="12" t="inlineStr"/>
      <c r="F5389" s="12" t="inlineStr">
        <is>
          <t>PCM: power control module</t>
        </is>
      </c>
      <c r="G5389" s="12" t="inlineStr">
        <is>
          <t>RICE-5</t>
        </is>
      </c>
      <c r="H5389" s="12" t="inlineStr">
        <is>
          <t>RICE engine-generator 5</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181</v>
      </c>
      <c r="V5389" s="15">
        <f>ROUNDUP((T5389+U5389+2*'Read Me'!$B$13)*(1+'Read Me'!$B$12),-1)</f>
        <v/>
      </c>
      <c r="W5389" s="15">
        <f>V5389*N5389*O5389</f>
        <v/>
      </c>
      <c r="X5389" s="12">
        <f>IF(LEFT(I5389,2)="MV",2*N5389*IF(L5389="1/C",O5389,1),0)</f>
        <v/>
      </c>
      <c r="Y5389" s="12">
        <f>IF(OR(LEFT(K5389,4)="LVAX",LEFT(K5389,6)="MV15AX",LEFT(K5389,4)="CTAX",LEFT(K5389,2)="W|"),2*N5389*O5389,0)</f>
        <v/>
      </c>
      <c r="Z5389" s="12" t="inlineStr">
        <is>
          <t>VD 2.2 %</t>
        </is>
      </c>
      <c r="AA5389" s="12">
        <f>N5389*O5389</f>
        <v/>
      </c>
    </row>
    <row r="5390">
      <c r="A5390" s="12" t="inlineStr">
        <is>
          <t>I-P-0211</t>
        </is>
      </c>
      <c r="B5390" s="12" t="inlineStr">
        <is>
          <t>I</t>
        </is>
      </c>
      <c r="C5390" s="12" t="inlineStr">
        <is>
          <t>Modular / portable power</t>
        </is>
      </c>
      <c r="D5390" s="12" t="inlineStr">
        <is>
          <t>480 V welding receptacle 1</t>
        </is>
      </c>
      <c r="E5390" s="12" t="inlineStr"/>
      <c r="F5390" s="12" t="inlineStr">
        <is>
          <t>PCM: power control module</t>
        </is>
      </c>
      <c r="G5390" s="12" t="inlineStr">
        <is>
          <t>RICE-5</t>
        </is>
      </c>
      <c r="H5390" s="12" t="inlineStr">
        <is>
          <t>RICE engine-generator 5</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181</v>
      </c>
      <c r="V5390" s="15">
        <f>ROUNDUP((T5390+U5390+2*'Read Me'!$B$13)*(1+'Read Me'!$B$12),-1)</f>
        <v/>
      </c>
      <c r="W5390" s="15">
        <f>V5390*N5390*O5390</f>
        <v/>
      </c>
      <c r="X5390" s="12">
        <f>IF(LEFT(I5390,2)="MV",2*N5390*IF(L5390="1/C",O5390,1),0)</f>
        <v/>
      </c>
      <c r="Y5390" s="12">
        <f>IF(OR(LEFT(K5390,4)="LVAX",LEFT(K5390,6)="MV15AX",LEFT(K5390,4)="CTAX",LEFT(K5390,2)="W|"),2*N5390*O5390,0)</f>
        <v/>
      </c>
      <c r="Z5390" s="12" t="inlineStr">
        <is>
          <t>VD 1.4 %</t>
        </is>
      </c>
      <c r="AA5390" s="12">
        <f>N5390*O5390</f>
        <v/>
      </c>
    </row>
    <row r="5391">
      <c r="A5391" s="12" t="inlineStr">
        <is>
          <t>I-P-0212</t>
        </is>
      </c>
      <c r="B5391" s="12" t="inlineStr">
        <is>
          <t>I</t>
        </is>
      </c>
      <c r="C5391" s="12" t="inlineStr">
        <is>
          <t>Modular / portable power</t>
        </is>
      </c>
      <c r="D5391" s="12" t="inlineStr">
        <is>
          <t>480 V welding receptacle 2</t>
        </is>
      </c>
      <c r="E5391" s="12" t="inlineStr"/>
      <c r="F5391" s="12" t="inlineStr">
        <is>
          <t>PCM: power control module</t>
        </is>
      </c>
      <c r="G5391" s="12" t="inlineStr">
        <is>
          <t>RICE-5</t>
        </is>
      </c>
      <c r="H5391" s="12" t="inlineStr">
        <is>
          <t>RICE engine-generator 5</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181</v>
      </c>
      <c r="V5391" s="15">
        <f>ROUNDUP((T5391+U5391+2*'Read Me'!$B$13)*(1+'Read Me'!$B$12),-1)</f>
        <v/>
      </c>
      <c r="W5391" s="15">
        <f>V5391*N5391*O5391</f>
        <v/>
      </c>
      <c r="X5391" s="12">
        <f>IF(LEFT(I5391,2)="MV",2*N5391*IF(L5391="1/C",O5391,1),0)</f>
        <v/>
      </c>
      <c r="Y5391" s="12">
        <f>IF(OR(LEFT(K5391,4)="LVAX",LEFT(K5391,6)="MV15AX",LEFT(K5391,4)="CTAX",LEFT(K5391,2)="W|"),2*N5391*O5391,0)</f>
        <v/>
      </c>
      <c r="Z5391" s="12" t="inlineStr">
        <is>
          <t>VD 1.4 %</t>
        </is>
      </c>
      <c r="AA5391" s="12">
        <f>N5391*O5391</f>
        <v/>
      </c>
    </row>
    <row r="5392">
      <c r="A5392" s="12" t="inlineStr">
        <is>
          <t>I-P-0213</t>
        </is>
      </c>
      <c r="B5392" s="12" t="inlineStr">
        <is>
          <t>I</t>
        </is>
      </c>
      <c r="C5392" s="12" t="inlineStr">
        <is>
          <t>Modular / portable power</t>
        </is>
      </c>
      <c r="D5392" s="12" t="inlineStr">
        <is>
          <t>480 V welding receptacle 3</t>
        </is>
      </c>
      <c r="E5392" s="12" t="inlineStr"/>
      <c r="F5392" s="12" t="inlineStr">
        <is>
          <t>PCM: power control module</t>
        </is>
      </c>
      <c r="G5392" s="12" t="inlineStr">
        <is>
          <t>RICE-5</t>
        </is>
      </c>
      <c r="H5392" s="12" t="inlineStr">
        <is>
          <t>RICE engine-generator 5</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181</v>
      </c>
      <c r="V5392" s="15">
        <f>ROUNDUP((T5392+U5392+2*'Read Me'!$B$13)*(1+'Read Me'!$B$12),-1)</f>
        <v/>
      </c>
      <c r="W5392" s="15">
        <f>V5392*N5392*O5392</f>
        <v/>
      </c>
      <c r="X5392" s="12">
        <f>IF(LEFT(I5392,2)="MV",2*N5392*IF(L5392="1/C",O5392,1),0)</f>
        <v/>
      </c>
      <c r="Y5392" s="12">
        <f>IF(OR(LEFT(K5392,4)="LVAX",LEFT(K5392,6)="MV15AX",LEFT(K5392,4)="CTAX",LEFT(K5392,2)="W|"),2*N5392*O5392,0)</f>
        <v/>
      </c>
      <c r="Z5392" s="12" t="inlineStr">
        <is>
          <t>VD 1.4 %</t>
        </is>
      </c>
      <c r="AA5392" s="12">
        <f>N5392*O5392</f>
        <v/>
      </c>
    </row>
    <row r="5393">
      <c r="A5393" s="12" t="inlineStr">
        <is>
          <t>I-P-0214</t>
        </is>
      </c>
      <c r="B5393" s="12" t="inlineStr">
        <is>
          <t>I</t>
        </is>
      </c>
      <c r="C5393" s="12" t="inlineStr">
        <is>
          <t>Modular / portable power</t>
        </is>
      </c>
      <c r="D5393" s="12" t="inlineStr">
        <is>
          <t>480 V welding receptacle 4</t>
        </is>
      </c>
      <c r="E5393" s="12" t="inlineStr"/>
      <c r="F5393" s="12" t="inlineStr">
        <is>
          <t>PCM: power control module</t>
        </is>
      </c>
      <c r="G5393" s="12" t="inlineStr">
        <is>
          <t>RICE-5</t>
        </is>
      </c>
      <c r="H5393" s="12" t="inlineStr">
        <is>
          <t>RICE engine-generator 5</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181</v>
      </c>
      <c r="V5393" s="15">
        <f>ROUNDUP((T5393+U5393+2*'Read Me'!$B$13)*(1+'Read Me'!$B$12),-1)</f>
        <v/>
      </c>
      <c r="W5393" s="15">
        <f>V5393*N5393*O5393</f>
        <v/>
      </c>
      <c r="X5393" s="12">
        <f>IF(LEFT(I5393,2)="MV",2*N5393*IF(L5393="1/C",O5393,1),0)</f>
        <v/>
      </c>
      <c r="Y5393" s="12">
        <f>IF(OR(LEFT(K5393,4)="LVAX",LEFT(K5393,6)="MV15AX",LEFT(K5393,4)="CTAX",LEFT(K5393,2)="W|"),2*N5393*O5393,0)</f>
        <v/>
      </c>
      <c r="Z5393" s="12" t="inlineStr">
        <is>
          <t>VD 1.4 %</t>
        </is>
      </c>
      <c r="AA5393" s="12">
        <f>N5393*O5393</f>
        <v/>
      </c>
    </row>
    <row r="5394">
      <c r="A5394" s="12" t="inlineStr">
        <is>
          <t>I-P-0215</t>
        </is>
      </c>
      <c r="B5394" s="12" t="inlineStr">
        <is>
          <t>I</t>
        </is>
      </c>
      <c r="C5394" s="12" t="inlineStr">
        <is>
          <t>Modular / portable power</t>
        </is>
      </c>
      <c r="D5394" s="12" t="inlineStr">
        <is>
          <t>Motor 1 of 6, 22 kW</t>
        </is>
      </c>
      <c r="E5394" s="12" t="inlineStr"/>
      <c r="F5394" s="12" t="inlineStr">
        <is>
          <t>PCM: power control module</t>
        </is>
      </c>
      <c r="G5394" s="12" t="inlineStr">
        <is>
          <t>RICE-6</t>
        </is>
      </c>
      <c r="H5394" s="12" t="inlineStr">
        <is>
          <t>RICE engine-generator 6</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153</v>
      </c>
      <c r="V5394" s="15">
        <f>ROUNDUP((T5394+U5394+2*'Read Me'!$B$13)*(1+'Read Me'!$B$12),-1)</f>
        <v/>
      </c>
      <c r="W5394" s="15">
        <f>V5394*N5394*O5394</f>
        <v/>
      </c>
      <c r="X5394" s="12">
        <f>IF(LEFT(I5394,2)="MV",2*N5394*IF(L5394="1/C",O5394,1),0)</f>
        <v/>
      </c>
      <c r="Y5394" s="12">
        <f>IF(OR(LEFT(K5394,4)="LVAX",LEFT(K5394,6)="MV15AX",LEFT(K5394,4)="CTAX",LEFT(K5394,2)="W|"),2*N5394*O5394,0)</f>
        <v/>
      </c>
      <c r="Z5394" s="12" t="inlineStr">
        <is>
          <t>VD 2.0 %</t>
        </is>
      </c>
      <c r="AA5394" s="12">
        <f>N5394*O5394</f>
        <v/>
      </c>
    </row>
    <row r="5395">
      <c r="A5395" s="12" t="inlineStr">
        <is>
          <t>I-P-0216</t>
        </is>
      </c>
      <c r="B5395" s="12" t="inlineStr">
        <is>
          <t>I</t>
        </is>
      </c>
      <c r="C5395" s="12" t="inlineStr">
        <is>
          <t>Modular / portable power</t>
        </is>
      </c>
      <c r="D5395" s="12" t="inlineStr">
        <is>
          <t>Motor 2 of 6, 22 kW</t>
        </is>
      </c>
      <c r="E5395" s="12" t="inlineStr"/>
      <c r="F5395" s="12" t="inlineStr">
        <is>
          <t>PCM: power control module</t>
        </is>
      </c>
      <c r="G5395" s="12" t="inlineStr">
        <is>
          <t>RICE-6</t>
        </is>
      </c>
      <c r="H5395" s="12" t="inlineStr">
        <is>
          <t>RICE engine-generator 6</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153</v>
      </c>
      <c r="V5395" s="15">
        <f>ROUNDUP((T5395+U5395+2*'Read Me'!$B$13)*(1+'Read Me'!$B$12),-1)</f>
        <v/>
      </c>
      <c r="W5395" s="15">
        <f>V5395*N5395*O5395</f>
        <v/>
      </c>
      <c r="X5395" s="12">
        <f>IF(LEFT(I5395,2)="MV",2*N5395*IF(L5395="1/C",O5395,1),0)</f>
        <v/>
      </c>
      <c r="Y5395" s="12">
        <f>IF(OR(LEFT(K5395,4)="LVAX",LEFT(K5395,6)="MV15AX",LEFT(K5395,4)="CTAX",LEFT(K5395,2)="W|"),2*N5395*O5395,0)</f>
        <v/>
      </c>
      <c r="Z5395" s="12" t="inlineStr">
        <is>
          <t>VD 2.0 %</t>
        </is>
      </c>
      <c r="AA5395" s="12">
        <f>N5395*O5395</f>
        <v/>
      </c>
    </row>
    <row r="5396">
      <c r="A5396" s="12" t="inlineStr">
        <is>
          <t>I-P-0217</t>
        </is>
      </c>
      <c r="B5396" s="12" t="inlineStr">
        <is>
          <t>I</t>
        </is>
      </c>
      <c r="C5396" s="12" t="inlineStr">
        <is>
          <t>Modular / portable power</t>
        </is>
      </c>
      <c r="D5396" s="12" t="inlineStr">
        <is>
          <t>Motor 3 of 6, 22 kW</t>
        </is>
      </c>
      <c r="E5396" s="12" t="inlineStr"/>
      <c r="F5396" s="12" t="inlineStr">
        <is>
          <t>PCM: power control module</t>
        </is>
      </c>
      <c r="G5396" s="12" t="inlineStr">
        <is>
          <t>RICE-6</t>
        </is>
      </c>
      <c r="H5396" s="12" t="inlineStr">
        <is>
          <t>RICE engine-generator 6</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153</v>
      </c>
      <c r="V5396" s="15">
        <f>ROUNDUP((T5396+U5396+2*'Read Me'!$B$13)*(1+'Read Me'!$B$12),-1)</f>
        <v/>
      </c>
      <c r="W5396" s="15">
        <f>V5396*N5396*O5396</f>
        <v/>
      </c>
      <c r="X5396" s="12">
        <f>IF(LEFT(I5396,2)="MV",2*N5396*IF(L5396="1/C",O5396,1),0)</f>
        <v/>
      </c>
      <c r="Y5396" s="12">
        <f>IF(OR(LEFT(K5396,4)="LVAX",LEFT(K5396,6)="MV15AX",LEFT(K5396,4)="CTAX",LEFT(K5396,2)="W|"),2*N5396*O5396,0)</f>
        <v/>
      </c>
      <c r="Z5396" s="12" t="inlineStr">
        <is>
          <t>VD 2.0 %</t>
        </is>
      </c>
      <c r="AA5396" s="12">
        <f>N5396*O5396</f>
        <v/>
      </c>
    </row>
    <row r="5397">
      <c r="A5397" s="12" t="inlineStr">
        <is>
          <t>I-P-0218</t>
        </is>
      </c>
      <c r="B5397" s="12" t="inlineStr">
        <is>
          <t>I</t>
        </is>
      </c>
      <c r="C5397" s="12" t="inlineStr">
        <is>
          <t>Modular / portable power</t>
        </is>
      </c>
      <c r="D5397" s="12" t="inlineStr">
        <is>
          <t>Motor 4 of 6, 22 kW</t>
        </is>
      </c>
      <c r="E5397" s="12" t="inlineStr"/>
      <c r="F5397" s="12" t="inlineStr">
        <is>
          <t>PCM: power control module</t>
        </is>
      </c>
      <c r="G5397" s="12" t="inlineStr">
        <is>
          <t>RICE-6</t>
        </is>
      </c>
      <c r="H5397" s="12" t="inlineStr">
        <is>
          <t>RICE engine-generator 6</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153</v>
      </c>
      <c r="V5397" s="15">
        <f>ROUNDUP((T5397+U5397+2*'Read Me'!$B$13)*(1+'Read Me'!$B$12),-1)</f>
        <v/>
      </c>
      <c r="W5397" s="15">
        <f>V5397*N5397*O5397</f>
        <v/>
      </c>
      <c r="X5397" s="12">
        <f>IF(LEFT(I5397,2)="MV",2*N5397*IF(L5397="1/C",O5397,1),0)</f>
        <v/>
      </c>
      <c r="Y5397" s="12">
        <f>IF(OR(LEFT(K5397,4)="LVAX",LEFT(K5397,6)="MV15AX",LEFT(K5397,4)="CTAX",LEFT(K5397,2)="W|"),2*N5397*O5397,0)</f>
        <v/>
      </c>
      <c r="Z5397" s="12" t="inlineStr">
        <is>
          <t>VD 2.0 %</t>
        </is>
      </c>
      <c r="AA5397" s="12">
        <f>N5397*O5397</f>
        <v/>
      </c>
    </row>
    <row r="5398">
      <c r="A5398" s="12" t="inlineStr">
        <is>
          <t>I-P-0219</t>
        </is>
      </c>
      <c r="B5398" s="12" t="inlineStr">
        <is>
          <t>I</t>
        </is>
      </c>
      <c r="C5398" s="12" t="inlineStr">
        <is>
          <t>Modular / portable power</t>
        </is>
      </c>
      <c r="D5398" s="12" t="inlineStr">
        <is>
          <t>Motor 5 of 6, 22 kW</t>
        </is>
      </c>
      <c r="E5398" s="12" t="inlineStr"/>
      <c r="F5398" s="12" t="inlineStr">
        <is>
          <t>PCM: power control module</t>
        </is>
      </c>
      <c r="G5398" s="12" t="inlineStr">
        <is>
          <t>RICE-6</t>
        </is>
      </c>
      <c r="H5398" s="12" t="inlineStr">
        <is>
          <t>RICE engine-generator 6</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153</v>
      </c>
      <c r="V5398" s="15">
        <f>ROUNDUP((T5398+U5398+2*'Read Me'!$B$13)*(1+'Read Me'!$B$12),-1)</f>
        <v/>
      </c>
      <c r="W5398" s="15">
        <f>V5398*N5398*O5398</f>
        <v/>
      </c>
      <c r="X5398" s="12">
        <f>IF(LEFT(I5398,2)="MV",2*N5398*IF(L5398="1/C",O5398,1),0)</f>
        <v/>
      </c>
      <c r="Y5398" s="12">
        <f>IF(OR(LEFT(K5398,4)="LVAX",LEFT(K5398,6)="MV15AX",LEFT(K5398,4)="CTAX",LEFT(K5398,2)="W|"),2*N5398*O5398,0)</f>
        <v/>
      </c>
      <c r="Z5398" s="12" t="inlineStr">
        <is>
          <t>VD 2.0 %</t>
        </is>
      </c>
      <c r="AA5398" s="12">
        <f>N5398*O5398</f>
        <v/>
      </c>
    </row>
    <row r="5399">
      <c r="A5399" s="12" t="inlineStr">
        <is>
          <t>I-P-0220</t>
        </is>
      </c>
      <c r="B5399" s="12" t="inlineStr">
        <is>
          <t>I</t>
        </is>
      </c>
      <c r="C5399" s="12" t="inlineStr">
        <is>
          <t>Modular / portable power</t>
        </is>
      </c>
      <c r="D5399" s="12" t="inlineStr">
        <is>
          <t>Motor 6 of 6, 22 kW</t>
        </is>
      </c>
      <c r="E5399" s="12" t="inlineStr"/>
      <c r="F5399" s="12" t="inlineStr">
        <is>
          <t>PCM: power control module</t>
        </is>
      </c>
      <c r="G5399" s="12" t="inlineStr">
        <is>
          <t>RICE-6</t>
        </is>
      </c>
      <c r="H5399" s="12" t="inlineStr">
        <is>
          <t>RICE engine-generator 6</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153</v>
      </c>
      <c r="V5399" s="15">
        <f>ROUNDUP((T5399+U5399+2*'Read Me'!$B$13)*(1+'Read Me'!$B$12),-1)</f>
        <v/>
      </c>
      <c r="W5399" s="15">
        <f>V5399*N5399*O5399</f>
        <v/>
      </c>
      <c r="X5399" s="12">
        <f>IF(LEFT(I5399,2)="MV",2*N5399*IF(L5399="1/C",O5399,1),0)</f>
        <v/>
      </c>
      <c r="Y5399" s="12">
        <f>IF(OR(LEFT(K5399,4)="LVAX",LEFT(K5399,6)="MV15AX",LEFT(K5399,4)="CTAX",LEFT(K5399,2)="W|"),2*N5399*O5399,0)</f>
        <v/>
      </c>
      <c r="Z5399" s="12" t="inlineStr">
        <is>
          <t>VD 2.0 %</t>
        </is>
      </c>
      <c r="AA5399" s="12">
        <f>N5399*O5399</f>
        <v/>
      </c>
    </row>
    <row r="5400">
      <c r="A5400" s="12" t="inlineStr">
        <is>
          <t>I-P-0221</t>
        </is>
      </c>
      <c r="B5400" s="12" t="inlineStr">
        <is>
          <t>I</t>
        </is>
      </c>
      <c r="C5400" s="12" t="inlineStr">
        <is>
          <t>Modular / portable power</t>
        </is>
      </c>
      <c r="D5400" s="12" t="inlineStr">
        <is>
          <t>480 V welding receptacle 1</t>
        </is>
      </c>
      <c r="E5400" s="12" t="inlineStr"/>
      <c r="F5400" s="12" t="inlineStr">
        <is>
          <t>PCM: power control module</t>
        </is>
      </c>
      <c r="G5400" s="12" t="inlineStr">
        <is>
          <t>RICE-6</t>
        </is>
      </c>
      <c r="H5400" s="12" t="inlineStr">
        <is>
          <t>RICE engine-generator 6</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153</v>
      </c>
      <c r="V5400" s="15">
        <f>ROUNDUP((T5400+U5400+2*'Read Me'!$B$13)*(1+'Read Me'!$B$12),-1)</f>
        <v/>
      </c>
      <c r="W5400" s="15">
        <f>V5400*N5400*O5400</f>
        <v/>
      </c>
      <c r="X5400" s="12">
        <f>IF(LEFT(I5400,2)="MV",2*N5400*IF(L5400="1/C",O5400,1),0)</f>
        <v/>
      </c>
      <c r="Y5400" s="12">
        <f>IF(OR(LEFT(K5400,4)="LVAX",LEFT(K5400,6)="MV15AX",LEFT(K5400,4)="CTAX",LEFT(K5400,2)="W|"),2*N5400*O5400,0)</f>
        <v/>
      </c>
      <c r="Z5400" s="12" t="inlineStr">
        <is>
          <t>VD 1.2 %</t>
        </is>
      </c>
      <c r="AA5400" s="12">
        <f>N5400*O5400</f>
        <v/>
      </c>
    </row>
    <row r="5401">
      <c r="A5401" s="12" t="inlineStr">
        <is>
          <t>I-P-0222</t>
        </is>
      </c>
      <c r="B5401" s="12" t="inlineStr">
        <is>
          <t>I</t>
        </is>
      </c>
      <c r="C5401" s="12" t="inlineStr">
        <is>
          <t>Modular / portable power</t>
        </is>
      </c>
      <c r="D5401" s="12" t="inlineStr">
        <is>
          <t>480 V welding receptacle 2</t>
        </is>
      </c>
      <c r="E5401" s="12" t="inlineStr"/>
      <c r="F5401" s="12" t="inlineStr">
        <is>
          <t>PCM: power control module</t>
        </is>
      </c>
      <c r="G5401" s="12" t="inlineStr">
        <is>
          <t>RICE-6</t>
        </is>
      </c>
      <c r="H5401" s="12" t="inlineStr">
        <is>
          <t>RICE engine-generator 6</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153</v>
      </c>
      <c r="V5401" s="15">
        <f>ROUNDUP((T5401+U5401+2*'Read Me'!$B$13)*(1+'Read Me'!$B$12),-1)</f>
        <v/>
      </c>
      <c r="W5401" s="15">
        <f>V5401*N5401*O5401</f>
        <v/>
      </c>
      <c r="X5401" s="12">
        <f>IF(LEFT(I5401,2)="MV",2*N5401*IF(L5401="1/C",O5401,1),0)</f>
        <v/>
      </c>
      <c r="Y5401" s="12">
        <f>IF(OR(LEFT(K5401,4)="LVAX",LEFT(K5401,6)="MV15AX",LEFT(K5401,4)="CTAX",LEFT(K5401,2)="W|"),2*N5401*O5401,0)</f>
        <v/>
      </c>
      <c r="Z5401" s="12" t="inlineStr">
        <is>
          <t>VD 1.2 %</t>
        </is>
      </c>
      <c r="AA5401" s="12">
        <f>N5401*O5401</f>
        <v/>
      </c>
    </row>
    <row r="5402">
      <c r="A5402" s="12" t="inlineStr">
        <is>
          <t>I-P-0223</t>
        </is>
      </c>
      <c r="B5402" s="12" t="inlineStr">
        <is>
          <t>I</t>
        </is>
      </c>
      <c r="C5402" s="12" t="inlineStr">
        <is>
          <t>Modular / portable power</t>
        </is>
      </c>
      <c r="D5402" s="12" t="inlineStr">
        <is>
          <t>480 V welding receptacle 3</t>
        </is>
      </c>
      <c r="E5402" s="12" t="inlineStr"/>
      <c r="F5402" s="12" t="inlineStr">
        <is>
          <t>PCM: power control module</t>
        </is>
      </c>
      <c r="G5402" s="12" t="inlineStr">
        <is>
          <t>RICE-6</t>
        </is>
      </c>
      <c r="H5402" s="12" t="inlineStr">
        <is>
          <t>RICE engine-generator 6</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153</v>
      </c>
      <c r="V5402" s="15">
        <f>ROUNDUP((T5402+U5402+2*'Read Me'!$B$13)*(1+'Read Me'!$B$12),-1)</f>
        <v/>
      </c>
      <c r="W5402" s="15">
        <f>V5402*N5402*O5402</f>
        <v/>
      </c>
      <c r="X5402" s="12">
        <f>IF(LEFT(I5402,2)="MV",2*N5402*IF(L5402="1/C",O5402,1),0)</f>
        <v/>
      </c>
      <c r="Y5402" s="12">
        <f>IF(OR(LEFT(K5402,4)="LVAX",LEFT(K5402,6)="MV15AX",LEFT(K5402,4)="CTAX",LEFT(K5402,2)="W|"),2*N5402*O5402,0)</f>
        <v/>
      </c>
      <c r="Z5402" s="12" t="inlineStr">
        <is>
          <t>VD 1.2 %</t>
        </is>
      </c>
      <c r="AA5402" s="12">
        <f>N5402*O5402</f>
        <v/>
      </c>
    </row>
    <row r="5403">
      <c r="A5403" s="12" t="inlineStr">
        <is>
          <t>I-P-0224</t>
        </is>
      </c>
      <c r="B5403" s="12" t="inlineStr">
        <is>
          <t>I</t>
        </is>
      </c>
      <c r="C5403" s="12" t="inlineStr">
        <is>
          <t>Modular / portable power</t>
        </is>
      </c>
      <c r="D5403" s="12" t="inlineStr">
        <is>
          <t>480 V welding receptacle 4</t>
        </is>
      </c>
      <c r="E5403" s="12" t="inlineStr"/>
      <c r="F5403" s="12" t="inlineStr">
        <is>
          <t>PCM: power control module</t>
        </is>
      </c>
      <c r="G5403" s="12" t="inlineStr">
        <is>
          <t>RICE-6</t>
        </is>
      </c>
      <c r="H5403" s="12" t="inlineStr">
        <is>
          <t>RICE engine-generator 6</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153</v>
      </c>
      <c r="V5403" s="15">
        <f>ROUNDUP((T5403+U5403+2*'Read Me'!$B$13)*(1+'Read Me'!$B$12),-1)</f>
        <v/>
      </c>
      <c r="W5403" s="15">
        <f>V5403*N5403*O5403</f>
        <v/>
      </c>
      <c r="X5403" s="12">
        <f>IF(LEFT(I5403,2)="MV",2*N5403*IF(L5403="1/C",O5403,1),0)</f>
        <v/>
      </c>
      <c r="Y5403" s="12">
        <f>IF(OR(LEFT(K5403,4)="LVAX",LEFT(K5403,6)="MV15AX",LEFT(K5403,4)="CTAX",LEFT(K5403,2)="W|"),2*N5403*O5403,0)</f>
        <v/>
      </c>
      <c r="Z5403" s="12" t="inlineStr">
        <is>
          <t>VD 1.2 %</t>
        </is>
      </c>
      <c r="AA5403" s="12">
        <f>N5403*O5403</f>
        <v/>
      </c>
    </row>
    <row r="5404">
      <c r="A5404" s="12" t="inlineStr">
        <is>
          <t>I-P-0225</t>
        </is>
      </c>
      <c r="B5404" s="12" t="inlineStr">
        <is>
          <t>I</t>
        </is>
      </c>
      <c r="C5404" s="12" t="inlineStr">
        <is>
          <t>Modular / portable power</t>
        </is>
      </c>
      <c r="D5404" s="12" t="inlineStr">
        <is>
          <t>Motor 1 of 6, 22 kW</t>
        </is>
      </c>
      <c r="E5404" s="12" t="inlineStr"/>
      <c r="F5404" s="12" t="inlineStr">
        <is>
          <t>PCM: power control module</t>
        </is>
      </c>
      <c r="G5404" s="12" t="inlineStr">
        <is>
          <t>RICE-7</t>
        </is>
      </c>
      <c r="H5404" s="12" t="inlineStr">
        <is>
          <t>RICE engine-generator 7</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125</v>
      </c>
      <c r="V5404" s="15">
        <f>ROUNDUP((T5404+U5404+2*'Read Me'!$B$13)*(1+'Read Me'!$B$12),-1)</f>
        <v/>
      </c>
      <c r="W5404" s="15">
        <f>V5404*N5404*O5404</f>
        <v/>
      </c>
      <c r="X5404" s="12">
        <f>IF(LEFT(I5404,2)="MV",2*N5404*IF(L5404="1/C",O5404,1),0)</f>
        <v/>
      </c>
      <c r="Y5404" s="12">
        <f>IF(OR(LEFT(K5404,4)="LVAX",LEFT(K5404,6)="MV15AX",LEFT(K5404,4)="CTAX",LEFT(K5404,2)="W|"),2*N5404*O5404,0)</f>
        <v/>
      </c>
      <c r="Z5404" s="12" t="inlineStr">
        <is>
          <t>VD 1.7 %</t>
        </is>
      </c>
      <c r="AA5404" s="12">
        <f>N5404*O5404</f>
        <v/>
      </c>
    </row>
    <row r="5405">
      <c r="A5405" s="12" t="inlineStr">
        <is>
          <t>I-P-0226</t>
        </is>
      </c>
      <c r="B5405" s="12" t="inlineStr">
        <is>
          <t>I</t>
        </is>
      </c>
      <c r="C5405" s="12" t="inlineStr">
        <is>
          <t>Modular / portable power</t>
        </is>
      </c>
      <c r="D5405" s="12" t="inlineStr">
        <is>
          <t>Motor 2 of 6, 22 kW</t>
        </is>
      </c>
      <c r="E5405" s="12" t="inlineStr"/>
      <c r="F5405" s="12" t="inlineStr">
        <is>
          <t>PCM: power control module</t>
        </is>
      </c>
      <c r="G5405" s="12" t="inlineStr">
        <is>
          <t>RICE-7</t>
        </is>
      </c>
      <c r="H5405" s="12" t="inlineStr">
        <is>
          <t>RICE engine-generator 7</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57</v>
      </c>
      <c r="U5405" s="15" t="n">
        <v>125</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I-P-0227</t>
        </is>
      </c>
      <c r="B5406" s="12" t="inlineStr">
        <is>
          <t>I</t>
        </is>
      </c>
      <c r="C5406" s="12" t="inlineStr">
        <is>
          <t>Modular / portable power</t>
        </is>
      </c>
      <c r="D5406" s="12" t="inlineStr">
        <is>
          <t>Motor 3 of 6, 22 kW</t>
        </is>
      </c>
      <c r="E5406" s="12" t="inlineStr"/>
      <c r="F5406" s="12" t="inlineStr">
        <is>
          <t>PCM: power control module</t>
        </is>
      </c>
      <c r="G5406" s="12" t="inlineStr">
        <is>
          <t>RICE-7</t>
        </is>
      </c>
      <c r="H5406" s="12" t="inlineStr">
        <is>
          <t>RICE engine-generator 7</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57</v>
      </c>
      <c r="U5406" s="15" t="n">
        <v>125</v>
      </c>
      <c r="V5406" s="15">
        <f>ROUNDUP((T5406+U5406+2*'Read Me'!$B$13)*(1+'Read Me'!$B$12),-1)</f>
        <v/>
      </c>
      <c r="W5406" s="15">
        <f>V5406*N5406*O5406</f>
        <v/>
      </c>
      <c r="X5406" s="12">
        <f>IF(LEFT(I5406,2)="MV",2*N5406*IF(L5406="1/C",O5406,1),0)</f>
        <v/>
      </c>
      <c r="Y5406" s="12">
        <f>IF(OR(LEFT(K5406,4)="LVAX",LEFT(K5406,6)="MV15AX",LEFT(K5406,4)="CTAX",LEFT(K5406,2)="W|"),2*N5406*O5406,0)</f>
        <v/>
      </c>
      <c r="Z5406" s="12" t="inlineStr">
        <is>
          <t>VD 1.7 %</t>
        </is>
      </c>
      <c r="AA5406" s="12">
        <f>N5406*O5406</f>
        <v/>
      </c>
    </row>
    <row r="5407">
      <c r="A5407" s="12" t="inlineStr">
        <is>
          <t>I-P-0228</t>
        </is>
      </c>
      <c r="B5407" s="12" t="inlineStr">
        <is>
          <t>I</t>
        </is>
      </c>
      <c r="C5407" s="12" t="inlineStr">
        <is>
          <t>Modular / portable power</t>
        </is>
      </c>
      <c r="D5407" s="12" t="inlineStr">
        <is>
          <t>Motor 4 of 6, 22 kW</t>
        </is>
      </c>
      <c r="E5407" s="12" t="inlineStr"/>
      <c r="F5407" s="12" t="inlineStr">
        <is>
          <t>PCM: power control module</t>
        </is>
      </c>
      <c r="G5407" s="12" t="inlineStr">
        <is>
          <t>RICE-7</t>
        </is>
      </c>
      <c r="H5407" s="12" t="inlineStr">
        <is>
          <t>RICE engine-generator 7</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57</v>
      </c>
      <c r="U5407" s="15" t="n">
        <v>125</v>
      </c>
      <c r="V5407" s="15">
        <f>ROUNDUP((T5407+U5407+2*'Read Me'!$B$13)*(1+'Read Me'!$B$12),-1)</f>
        <v/>
      </c>
      <c r="W5407" s="15">
        <f>V5407*N5407*O5407</f>
        <v/>
      </c>
      <c r="X5407" s="12">
        <f>IF(LEFT(I5407,2)="MV",2*N5407*IF(L5407="1/C",O5407,1),0)</f>
        <v/>
      </c>
      <c r="Y5407" s="12">
        <f>IF(OR(LEFT(K5407,4)="LVAX",LEFT(K5407,6)="MV15AX",LEFT(K5407,4)="CTAX",LEFT(K5407,2)="W|"),2*N5407*O5407,0)</f>
        <v/>
      </c>
      <c r="Z5407" s="12" t="inlineStr">
        <is>
          <t>VD 1.7 %</t>
        </is>
      </c>
      <c r="AA5407" s="12">
        <f>N5407*O5407</f>
        <v/>
      </c>
    </row>
    <row r="5408">
      <c r="A5408" s="12" t="inlineStr">
        <is>
          <t>I-P-0229</t>
        </is>
      </c>
      <c r="B5408" s="12" t="inlineStr">
        <is>
          <t>I</t>
        </is>
      </c>
      <c r="C5408" s="12" t="inlineStr">
        <is>
          <t>Modular / portable power</t>
        </is>
      </c>
      <c r="D5408" s="12" t="inlineStr">
        <is>
          <t>Motor 5 of 6, 22 kW</t>
        </is>
      </c>
      <c r="E5408" s="12" t="inlineStr"/>
      <c r="F5408" s="12" t="inlineStr">
        <is>
          <t>PCM: power control module</t>
        </is>
      </c>
      <c r="G5408" s="12" t="inlineStr">
        <is>
          <t>RICE-7</t>
        </is>
      </c>
      <c r="H5408" s="12" t="inlineStr">
        <is>
          <t>RICE engine-generator 7</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57</v>
      </c>
      <c r="U5408" s="15" t="n">
        <v>125</v>
      </c>
      <c r="V5408" s="15">
        <f>ROUNDUP((T5408+U5408+2*'Read Me'!$B$13)*(1+'Read Me'!$B$12),-1)</f>
        <v/>
      </c>
      <c r="W5408" s="15">
        <f>V5408*N5408*O5408</f>
        <v/>
      </c>
      <c r="X5408" s="12">
        <f>IF(LEFT(I5408,2)="MV",2*N5408*IF(L5408="1/C",O5408,1),0)</f>
        <v/>
      </c>
      <c r="Y5408" s="12">
        <f>IF(OR(LEFT(K5408,4)="LVAX",LEFT(K5408,6)="MV15AX",LEFT(K5408,4)="CTAX",LEFT(K5408,2)="W|"),2*N5408*O5408,0)</f>
        <v/>
      </c>
      <c r="Z5408" s="12" t="inlineStr">
        <is>
          <t>VD 1.7 %</t>
        </is>
      </c>
      <c r="AA5408" s="12">
        <f>N5408*O5408</f>
        <v/>
      </c>
    </row>
    <row r="5409">
      <c r="A5409" s="12" t="inlineStr">
        <is>
          <t>I-P-0230</t>
        </is>
      </c>
      <c r="B5409" s="12" t="inlineStr">
        <is>
          <t>I</t>
        </is>
      </c>
      <c r="C5409" s="12" t="inlineStr">
        <is>
          <t>Modular / portable power</t>
        </is>
      </c>
      <c r="D5409" s="12" t="inlineStr">
        <is>
          <t>Motor 6 of 6, 22 kW</t>
        </is>
      </c>
      <c r="E5409" s="12" t="inlineStr"/>
      <c r="F5409" s="12" t="inlineStr">
        <is>
          <t>PCM: power control module</t>
        </is>
      </c>
      <c r="G5409" s="12" t="inlineStr">
        <is>
          <t>RICE-7</t>
        </is>
      </c>
      <c r="H5409" s="12" t="inlineStr">
        <is>
          <t>RICE engine-generator 7</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22</v>
      </c>
      <c r="R5409" s="12" t="n">
        <v>31.1</v>
      </c>
      <c r="S5409" s="12" t="inlineStr">
        <is>
          <t>Duct bank</t>
        </is>
      </c>
      <c r="T5409" s="15" t="n">
        <v>57</v>
      </c>
      <c r="U5409" s="15" t="n">
        <v>125</v>
      </c>
      <c r="V5409" s="15">
        <f>ROUNDUP((T5409+U5409+2*'Read Me'!$B$13)*(1+'Read Me'!$B$12),-1)</f>
        <v/>
      </c>
      <c r="W5409" s="15">
        <f>V5409*N5409*O5409</f>
        <v/>
      </c>
      <c r="X5409" s="12">
        <f>IF(LEFT(I5409,2)="MV",2*N5409*IF(L5409="1/C",O5409,1),0)</f>
        <v/>
      </c>
      <c r="Y5409" s="12">
        <f>IF(OR(LEFT(K5409,4)="LVAX",LEFT(K5409,6)="MV15AX",LEFT(K5409,4)="CTAX",LEFT(K5409,2)="W|"),2*N5409*O5409,0)</f>
        <v/>
      </c>
      <c r="Z5409" s="12" t="inlineStr">
        <is>
          <t>VD 1.7 %</t>
        </is>
      </c>
      <c r="AA5409" s="12">
        <f>N5409*O5409</f>
        <v/>
      </c>
    </row>
    <row r="5410">
      <c r="A5410" s="12" t="inlineStr">
        <is>
          <t>I-P-0231</t>
        </is>
      </c>
      <c r="B5410" s="12" t="inlineStr">
        <is>
          <t>I</t>
        </is>
      </c>
      <c r="C5410" s="12" t="inlineStr">
        <is>
          <t>Modular / portable power</t>
        </is>
      </c>
      <c r="D5410" s="12" t="inlineStr">
        <is>
          <t>480 V welding receptacle 1</t>
        </is>
      </c>
      <c r="E5410" s="12" t="inlineStr"/>
      <c r="F5410" s="12" t="inlineStr">
        <is>
          <t>PCM: power control module</t>
        </is>
      </c>
      <c r="G5410" s="12" t="inlineStr">
        <is>
          <t>RICE-7</t>
        </is>
      </c>
      <c r="H5410" s="12" t="inlineStr">
        <is>
          <t>RICE engine-generator 7</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57</v>
      </c>
      <c r="U5410" s="15" t="n">
        <v>125</v>
      </c>
      <c r="V5410" s="15">
        <f>ROUNDUP((T5410+U5410+2*'Read Me'!$B$13)*(1+'Read Me'!$B$12),-1)</f>
        <v/>
      </c>
      <c r="W5410" s="15">
        <f>V5410*N5410*O5410</f>
        <v/>
      </c>
      <c r="X5410" s="12">
        <f>IF(LEFT(I5410,2)="MV",2*N5410*IF(L5410="1/C",O5410,1),0)</f>
        <v/>
      </c>
      <c r="Y5410" s="12">
        <f>IF(OR(LEFT(K5410,4)="LVAX",LEFT(K5410,6)="MV15AX",LEFT(K5410,4)="CTAX",LEFT(K5410,2)="W|"),2*N5410*O5410,0)</f>
        <v/>
      </c>
      <c r="Z5410" s="12" t="inlineStr">
        <is>
          <t>VD 1.1 %</t>
        </is>
      </c>
      <c r="AA5410" s="12">
        <f>N5410*O5410</f>
        <v/>
      </c>
    </row>
    <row r="5411">
      <c r="A5411" s="12" t="inlineStr">
        <is>
          <t>I-P-0232</t>
        </is>
      </c>
      <c r="B5411" s="12" t="inlineStr">
        <is>
          <t>I</t>
        </is>
      </c>
      <c r="C5411" s="12" t="inlineStr">
        <is>
          <t>Modular / portable power</t>
        </is>
      </c>
      <c r="D5411" s="12" t="inlineStr">
        <is>
          <t>480 V welding receptacle 2</t>
        </is>
      </c>
      <c r="E5411" s="12" t="inlineStr"/>
      <c r="F5411" s="12" t="inlineStr">
        <is>
          <t>PCM: power control module</t>
        </is>
      </c>
      <c r="G5411" s="12" t="inlineStr">
        <is>
          <t>RICE-7</t>
        </is>
      </c>
      <c r="H5411" s="12" t="inlineStr">
        <is>
          <t>RICE engine-generator 7</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57</v>
      </c>
      <c r="U5411" s="15" t="n">
        <v>125</v>
      </c>
      <c r="V5411" s="15">
        <f>ROUNDUP((T5411+U5411+2*'Read Me'!$B$13)*(1+'Read Me'!$B$12),-1)</f>
        <v/>
      </c>
      <c r="W5411" s="15">
        <f>V5411*N5411*O5411</f>
        <v/>
      </c>
      <c r="X5411" s="12">
        <f>IF(LEFT(I5411,2)="MV",2*N5411*IF(L5411="1/C",O5411,1),0)</f>
        <v/>
      </c>
      <c r="Y5411" s="12">
        <f>IF(OR(LEFT(K5411,4)="LVAX",LEFT(K5411,6)="MV15AX",LEFT(K5411,4)="CTAX",LEFT(K5411,2)="W|"),2*N5411*O5411,0)</f>
        <v/>
      </c>
      <c r="Z5411" s="12" t="inlineStr">
        <is>
          <t>VD 1.1 %</t>
        </is>
      </c>
      <c r="AA5411" s="12">
        <f>N5411*O5411</f>
        <v/>
      </c>
    </row>
    <row r="5412">
      <c r="A5412" s="12" t="inlineStr">
        <is>
          <t>I-P-0233</t>
        </is>
      </c>
      <c r="B5412" s="12" t="inlineStr">
        <is>
          <t>I</t>
        </is>
      </c>
      <c r="C5412" s="12" t="inlineStr">
        <is>
          <t>Modular / portable power</t>
        </is>
      </c>
      <c r="D5412" s="12" t="inlineStr">
        <is>
          <t>480 V welding receptacle 3</t>
        </is>
      </c>
      <c r="E5412" s="12" t="inlineStr"/>
      <c r="F5412" s="12" t="inlineStr">
        <is>
          <t>PCM: power control module</t>
        </is>
      </c>
      <c r="G5412" s="12" t="inlineStr">
        <is>
          <t>RICE-7</t>
        </is>
      </c>
      <c r="H5412" s="12" t="inlineStr">
        <is>
          <t>RICE engine-generator 7</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57</v>
      </c>
      <c r="U5412" s="15" t="n">
        <v>125</v>
      </c>
      <c r="V5412" s="15">
        <f>ROUNDUP((T5412+U5412+2*'Read Me'!$B$13)*(1+'Read Me'!$B$12),-1)</f>
        <v/>
      </c>
      <c r="W5412" s="15">
        <f>V5412*N5412*O5412</f>
        <v/>
      </c>
      <c r="X5412" s="12">
        <f>IF(LEFT(I5412,2)="MV",2*N5412*IF(L5412="1/C",O5412,1),0)</f>
        <v/>
      </c>
      <c r="Y5412" s="12">
        <f>IF(OR(LEFT(K5412,4)="LVAX",LEFT(K5412,6)="MV15AX",LEFT(K5412,4)="CTAX",LEFT(K5412,2)="W|"),2*N5412*O5412,0)</f>
        <v/>
      </c>
      <c r="Z5412" s="12" t="inlineStr">
        <is>
          <t>VD 1.1 %</t>
        </is>
      </c>
      <c r="AA5412" s="12">
        <f>N5412*O5412</f>
        <v/>
      </c>
    </row>
    <row r="5413">
      <c r="A5413" s="12" t="inlineStr">
        <is>
          <t>I-P-0234</t>
        </is>
      </c>
      <c r="B5413" s="12" t="inlineStr">
        <is>
          <t>I</t>
        </is>
      </c>
      <c r="C5413" s="12" t="inlineStr">
        <is>
          <t>Modular / portable power</t>
        </is>
      </c>
      <c r="D5413" s="12" t="inlineStr">
        <is>
          <t>480 V welding receptacle 4</t>
        </is>
      </c>
      <c r="E5413" s="12" t="inlineStr"/>
      <c r="F5413" s="12" t="inlineStr">
        <is>
          <t>PCM: power control module</t>
        </is>
      </c>
      <c r="G5413" s="12" t="inlineStr">
        <is>
          <t>RICE-7</t>
        </is>
      </c>
      <c r="H5413" s="12" t="inlineStr">
        <is>
          <t>RICE engine-generator 7</t>
        </is>
      </c>
      <c r="I5413" s="12" t="inlineStr">
        <is>
          <t>LV 600 V</t>
        </is>
      </c>
      <c r="J5413" s="12" t="inlineStr">
        <is>
          <t>Type TC-ER 600 V 3/C Cu XHHW-2 + ground, PVC jacket</t>
        </is>
      </c>
      <c r="K5413" s="12" t="inlineStr">
        <is>
          <t>LV|3/C+G|2</t>
        </is>
      </c>
      <c r="L5413" s="12" t="inlineStr">
        <is>
          <t>3/C+G</t>
        </is>
      </c>
      <c r="M5413" s="12" t="inlineStr">
        <is>
          <t>2</t>
        </is>
      </c>
      <c r="N5413" s="12" t="n">
        <v>1</v>
      </c>
      <c r="O5413" s="12" t="n">
        <v>1</v>
      </c>
      <c r="P5413" s="12" t="n">
        <v>480</v>
      </c>
      <c r="Q5413" s="12" t="n">
        <v>60</v>
      </c>
      <c r="R5413" s="12" t="n">
        <v>76</v>
      </c>
      <c r="S5413" s="12" t="inlineStr">
        <is>
          <t>Duct bank</t>
        </is>
      </c>
      <c r="T5413" s="15" t="n">
        <v>57</v>
      </c>
      <c r="U5413" s="15" t="n">
        <v>125</v>
      </c>
      <c r="V5413" s="15">
        <f>ROUNDUP((T5413+U5413+2*'Read Me'!$B$13)*(1+'Read Me'!$B$12),-1)</f>
        <v/>
      </c>
      <c r="W5413" s="15">
        <f>V5413*N5413*O5413</f>
        <v/>
      </c>
      <c r="X5413" s="12">
        <f>IF(LEFT(I5413,2)="MV",2*N5413*IF(L5413="1/C",O5413,1),0)</f>
        <v/>
      </c>
      <c r="Y5413" s="12">
        <f>IF(OR(LEFT(K5413,4)="LVAX",LEFT(K5413,6)="MV15AX",LEFT(K5413,4)="CTAX",LEFT(K5413,2)="W|"),2*N5413*O5413,0)</f>
        <v/>
      </c>
      <c r="Z5413" s="12" t="inlineStr">
        <is>
          <t>VD 1.1 %</t>
        </is>
      </c>
      <c r="AA5413" s="12">
        <f>N5413*O5413</f>
        <v/>
      </c>
    </row>
    <row r="5414">
      <c r="A5414" s="12" t="inlineStr">
        <is>
          <t>I-P-0235</t>
        </is>
      </c>
      <c r="B5414" s="12" t="inlineStr">
        <is>
          <t>I</t>
        </is>
      </c>
      <c r="C5414" s="12" t="inlineStr">
        <is>
          <t>Modular / portable power</t>
        </is>
      </c>
      <c r="D5414" s="12" t="inlineStr">
        <is>
          <t>Motor 1 of 6, 22 kW</t>
        </is>
      </c>
      <c r="E5414" s="12" t="inlineStr"/>
      <c r="F5414" s="12" t="inlineStr">
        <is>
          <t>PCM: power control module</t>
        </is>
      </c>
      <c r="G5414" s="12" t="inlineStr">
        <is>
          <t>RICE-8</t>
        </is>
      </c>
      <c r="H5414" s="12" t="inlineStr">
        <is>
          <t>RICE engine-generator 8</t>
        </is>
      </c>
      <c r="I5414" s="12" t="inlineStr">
        <is>
          <t>LV 600 V</t>
        </is>
      </c>
      <c r="J5414" s="12" t="inlineStr">
        <is>
          <t>Type TC-ER 600 V 3/C Cu XHHW-2 + ground, PVC jacket</t>
        </is>
      </c>
      <c r="K5414" s="12" t="inlineStr">
        <is>
          <t>LV|3/C+G|8</t>
        </is>
      </c>
      <c r="L5414" s="12" t="inlineStr">
        <is>
          <t>3/C+G</t>
        </is>
      </c>
      <c r="M5414" s="12" t="inlineStr">
        <is>
          <t>8</t>
        </is>
      </c>
      <c r="N5414" s="12" t="n">
        <v>1</v>
      </c>
      <c r="O5414" s="12" t="n">
        <v>1</v>
      </c>
      <c r="P5414" s="12" t="n">
        <v>480</v>
      </c>
      <c r="Q5414" s="12" t="n">
        <v>22</v>
      </c>
      <c r="R5414" s="12" t="n">
        <v>31.1</v>
      </c>
      <c r="S5414" s="12" t="inlineStr">
        <is>
          <t>Duct bank</t>
        </is>
      </c>
      <c r="T5414" s="15" t="n">
        <v>57</v>
      </c>
      <c r="U5414" s="15" t="n">
        <v>97</v>
      </c>
      <c r="V5414" s="15">
        <f>ROUNDUP((T5414+U5414+2*'Read Me'!$B$13)*(1+'Read Me'!$B$12),-1)</f>
        <v/>
      </c>
      <c r="W5414" s="15">
        <f>V5414*N5414*O5414</f>
        <v/>
      </c>
      <c r="X5414" s="12">
        <f>IF(LEFT(I5414,2)="MV",2*N5414*IF(L5414="1/C",O5414,1),0)</f>
        <v/>
      </c>
      <c r="Y5414" s="12">
        <f>IF(OR(LEFT(K5414,4)="LVAX",LEFT(K5414,6)="MV15AX",LEFT(K5414,4)="CTAX",LEFT(K5414,2)="W|"),2*N5414*O5414,0)</f>
        <v/>
      </c>
      <c r="Z5414" s="12" t="inlineStr">
        <is>
          <t>VD 1.5 %</t>
        </is>
      </c>
      <c r="AA5414" s="12">
        <f>N5414*O5414</f>
        <v/>
      </c>
    </row>
    <row r="5415">
      <c r="A5415" s="12" t="inlineStr">
        <is>
          <t>I-P-0236</t>
        </is>
      </c>
      <c r="B5415" s="12" t="inlineStr">
        <is>
          <t>I</t>
        </is>
      </c>
      <c r="C5415" s="12" t="inlineStr">
        <is>
          <t>Modular / portable power</t>
        </is>
      </c>
      <c r="D5415" s="12" t="inlineStr">
        <is>
          <t>Motor 2 of 6, 22 kW</t>
        </is>
      </c>
      <c r="E5415" s="12" t="inlineStr"/>
      <c r="F5415" s="12" t="inlineStr">
        <is>
          <t>PCM: power control module</t>
        </is>
      </c>
      <c r="G5415" s="12" t="inlineStr">
        <is>
          <t>RICE-8</t>
        </is>
      </c>
      <c r="H5415" s="12" t="inlineStr">
        <is>
          <t>RICE engine-generator 8</t>
        </is>
      </c>
      <c r="I5415" s="12" t="inlineStr">
        <is>
          <t>LV 600 V</t>
        </is>
      </c>
      <c r="J5415" s="12" t="inlineStr">
        <is>
          <t>Type TC-ER 600 V 3/C Cu XHHW-2 + ground, PVC jacket</t>
        </is>
      </c>
      <c r="K5415" s="12" t="inlineStr">
        <is>
          <t>LV|3/C+G|8</t>
        </is>
      </c>
      <c r="L5415" s="12" t="inlineStr">
        <is>
          <t>3/C+G</t>
        </is>
      </c>
      <c r="M5415" s="12" t="inlineStr">
        <is>
          <t>8</t>
        </is>
      </c>
      <c r="N5415" s="12" t="n">
        <v>1</v>
      </c>
      <c r="O5415" s="12" t="n">
        <v>1</v>
      </c>
      <c r="P5415" s="12" t="n">
        <v>480</v>
      </c>
      <c r="Q5415" s="12" t="n">
        <v>22</v>
      </c>
      <c r="R5415" s="12" t="n">
        <v>31.1</v>
      </c>
      <c r="S5415" s="12" t="inlineStr">
        <is>
          <t>Duct bank</t>
        </is>
      </c>
      <c r="T5415" s="15" t="n">
        <v>57</v>
      </c>
      <c r="U5415" s="15" t="n">
        <v>97</v>
      </c>
      <c r="V5415" s="15">
        <f>ROUNDUP((T5415+U5415+2*'Read Me'!$B$13)*(1+'Read Me'!$B$12),-1)</f>
        <v/>
      </c>
      <c r="W5415" s="15">
        <f>V5415*N5415*O5415</f>
        <v/>
      </c>
      <c r="X5415" s="12">
        <f>IF(LEFT(I5415,2)="MV",2*N5415*IF(L5415="1/C",O5415,1),0)</f>
        <v/>
      </c>
      <c r="Y5415" s="12">
        <f>IF(OR(LEFT(K5415,4)="LVAX",LEFT(K5415,6)="MV15AX",LEFT(K5415,4)="CTAX",LEFT(K5415,2)="W|"),2*N5415*O5415,0)</f>
        <v/>
      </c>
      <c r="Z5415" s="12" t="inlineStr">
        <is>
          <t>VD 1.5 %</t>
        </is>
      </c>
      <c r="AA5415" s="12">
        <f>N5415*O5415</f>
        <v/>
      </c>
    </row>
    <row r="5416">
      <c r="A5416" s="12" t="inlineStr">
        <is>
          <t>I-P-0237</t>
        </is>
      </c>
      <c r="B5416" s="12" t="inlineStr">
        <is>
          <t>I</t>
        </is>
      </c>
      <c r="C5416" s="12" t="inlineStr">
        <is>
          <t>Modular / portable power</t>
        </is>
      </c>
      <c r="D5416" s="12" t="inlineStr">
        <is>
          <t>Motor 3 of 6, 22 kW</t>
        </is>
      </c>
      <c r="E5416" s="12" t="inlineStr"/>
      <c r="F5416" s="12" t="inlineStr">
        <is>
          <t>PCM: power control module</t>
        </is>
      </c>
      <c r="G5416" s="12" t="inlineStr">
        <is>
          <t>RICE-8</t>
        </is>
      </c>
      <c r="H5416" s="12" t="inlineStr">
        <is>
          <t>RICE engine-generator 8</t>
        </is>
      </c>
      <c r="I5416" s="12" t="inlineStr">
        <is>
          <t>LV 600 V</t>
        </is>
      </c>
      <c r="J5416" s="12" t="inlineStr">
        <is>
          <t>Type TC-ER 600 V 3/C Cu XHHW-2 + ground, PVC jacket</t>
        </is>
      </c>
      <c r="K5416" s="12" t="inlineStr">
        <is>
          <t>LV|3/C+G|8</t>
        </is>
      </c>
      <c r="L5416" s="12" t="inlineStr">
        <is>
          <t>3/C+G</t>
        </is>
      </c>
      <c r="M5416" s="12" t="inlineStr">
        <is>
          <t>8</t>
        </is>
      </c>
      <c r="N5416" s="12" t="n">
        <v>1</v>
      </c>
      <c r="O5416" s="12" t="n">
        <v>1</v>
      </c>
      <c r="P5416" s="12" t="n">
        <v>480</v>
      </c>
      <c r="Q5416" s="12" t="n">
        <v>22</v>
      </c>
      <c r="R5416" s="12" t="n">
        <v>31.1</v>
      </c>
      <c r="S5416" s="12" t="inlineStr">
        <is>
          <t>Duct bank</t>
        </is>
      </c>
      <c r="T5416" s="15" t="n">
        <v>57</v>
      </c>
      <c r="U5416" s="15" t="n">
        <v>97</v>
      </c>
      <c r="V5416" s="15">
        <f>ROUNDUP((T5416+U5416+2*'Read Me'!$B$13)*(1+'Read Me'!$B$12),-1)</f>
        <v/>
      </c>
      <c r="W5416" s="15">
        <f>V5416*N5416*O5416</f>
        <v/>
      </c>
      <c r="X5416" s="12">
        <f>IF(LEFT(I5416,2)="MV",2*N5416*IF(L5416="1/C",O5416,1),0)</f>
        <v/>
      </c>
      <c r="Y5416" s="12">
        <f>IF(OR(LEFT(K5416,4)="LVAX",LEFT(K5416,6)="MV15AX",LEFT(K5416,4)="CTAX",LEFT(K5416,2)="W|"),2*N5416*O5416,0)</f>
        <v/>
      </c>
      <c r="Z5416" s="12" t="inlineStr">
        <is>
          <t>VD 1.5 %</t>
        </is>
      </c>
      <c r="AA5416" s="12">
        <f>N5416*O5416</f>
        <v/>
      </c>
    </row>
    <row r="5417">
      <c r="A5417" s="12" t="inlineStr">
        <is>
          <t>I-P-0238</t>
        </is>
      </c>
      <c r="B5417" s="12" t="inlineStr">
        <is>
          <t>I</t>
        </is>
      </c>
      <c r="C5417" s="12" t="inlineStr">
        <is>
          <t>Modular / portable power</t>
        </is>
      </c>
      <c r="D5417" s="12" t="inlineStr">
        <is>
          <t>Motor 4 of 6, 22 kW</t>
        </is>
      </c>
      <c r="E5417" s="12" t="inlineStr"/>
      <c r="F5417" s="12" t="inlineStr">
        <is>
          <t>PCM: power control module</t>
        </is>
      </c>
      <c r="G5417" s="12" t="inlineStr">
        <is>
          <t>RICE-8</t>
        </is>
      </c>
      <c r="H5417" s="12" t="inlineStr">
        <is>
          <t>RICE engine-generator 8</t>
        </is>
      </c>
      <c r="I5417" s="12" t="inlineStr">
        <is>
          <t>LV 600 V</t>
        </is>
      </c>
      <c r="J5417" s="12" t="inlineStr">
        <is>
          <t>Type TC-ER 600 V 3/C Cu XHHW-2 + ground, PVC jacket</t>
        </is>
      </c>
      <c r="K5417" s="12" t="inlineStr">
        <is>
          <t>LV|3/C+G|8</t>
        </is>
      </c>
      <c r="L5417" s="12" t="inlineStr">
        <is>
          <t>3/C+G</t>
        </is>
      </c>
      <c r="M5417" s="12" t="inlineStr">
        <is>
          <t>8</t>
        </is>
      </c>
      <c r="N5417" s="12" t="n">
        <v>1</v>
      </c>
      <c r="O5417" s="12" t="n">
        <v>1</v>
      </c>
      <c r="P5417" s="12" t="n">
        <v>480</v>
      </c>
      <c r="Q5417" s="12" t="n">
        <v>22</v>
      </c>
      <c r="R5417" s="12" t="n">
        <v>31.1</v>
      </c>
      <c r="S5417" s="12" t="inlineStr">
        <is>
          <t>Duct bank</t>
        </is>
      </c>
      <c r="T5417" s="15" t="n">
        <v>57</v>
      </c>
      <c r="U5417" s="15" t="n">
        <v>97</v>
      </c>
      <c r="V5417" s="15">
        <f>ROUNDUP((T5417+U5417+2*'Read Me'!$B$13)*(1+'Read Me'!$B$12),-1)</f>
        <v/>
      </c>
      <c r="W5417" s="15">
        <f>V5417*N5417*O5417</f>
        <v/>
      </c>
      <c r="X5417" s="12">
        <f>IF(LEFT(I5417,2)="MV",2*N5417*IF(L5417="1/C",O5417,1),0)</f>
        <v/>
      </c>
      <c r="Y5417" s="12">
        <f>IF(OR(LEFT(K5417,4)="LVAX",LEFT(K5417,6)="MV15AX",LEFT(K5417,4)="CTAX",LEFT(K5417,2)="W|"),2*N5417*O5417,0)</f>
        <v/>
      </c>
      <c r="Z5417" s="12" t="inlineStr">
        <is>
          <t>VD 1.5 %</t>
        </is>
      </c>
      <c r="AA5417" s="12">
        <f>N5417*O5417</f>
        <v/>
      </c>
    </row>
    <row r="5418">
      <c r="A5418" s="12" t="inlineStr">
        <is>
          <t>I-P-0239</t>
        </is>
      </c>
      <c r="B5418" s="12" t="inlineStr">
        <is>
          <t>I</t>
        </is>
      </c>
      <c r="C5418" s="12" t="inlineStr">
        <is>
          <t>Modular / portable power</t>
        </is>
      </c>
      <c r="D5418" s="12" t="inlineStr">
        <is>
          <t>Motor 5 of 6, 22 kW</t>
        </is>
      </c>
      <c r="E5418" s="12" t="inlineStr"/>
      <c r="F5418" s="12" t="inlineStr">
        <is>
          <t>PCM: power control module</t>
        </is>
      </c>
      <c r="G5418" s="12" t="inlineStr">
        <is>
          <t>RICE-8</t>
        </is>
      </c>
      <c r="H5418" s="12" t="inlineStr">
        <is>
          <t>RICE engine-generator 8</t>
        </is>
      </c>
      <c r="I5418" s="12" t="inlineStr">
        <is>
          <t>LV 600 V</t>
        </is>
      </c>
      <c r="J5418" s="12" t="inlineStr">
        <is>
          <t>Type TC-ER 600 V 3/C Cu XHHW-2 + ground, PVC jacket</t>
        </is>
      </c>
      <c r="K5418" s="12" t="inlineStr">
        <is>
          <t>LV|3/C+G|8</t>
        </is>
      </c>
      <c r="L5418" s="12" t="inlineStr">
        <is>
          <t>3/C+G</t>
        </is>
      </c>
      <c r="M5418" s="12" t="inlineStr">
        <is>
          <t>8</t>
        </is>
      </c>
      <c r="N5418" s="12" t="n">
        <v>1</v>
      </c>
      <c r="O5418" s="12" t="n">
        <v>1</v>
      </c>
      <c r="P5418" s="12" t="n">
        <v>480</v>
      </c>
      <c r="Q5418" s="12" t="n">
        <v>22</v>
      </c>
      <c r="R5418" s="12" t="n">
        <v>31.1</v>
      </c>
      <c r="S5418" s="12" t="inlineStr">
        <is>
          <t>Duct bank</t>
        </is>
      </c>
      <c r="T5418" s="15" t="n">
        <v>57</v>
      </c>
      <c r="U5418" s="15" t="n">
        <v>97</v>
      </c>
      <c r="V5418" s="15">
        <f>ROUNDUP((T5418+U5418+2*'Read Me'!$B$13)*(1+'Read Me'!$B$12),-1)</f>
        <v/>
      </c>
      <c r="W5418" s="15">
        <f>V5418*N5418*O5418</f>
        <v/>
      </c>
      <c r="X5418" s="12">
        <f>IF(LEFT(I5418,2)="MV",2*N5418*IF(L5418="1/C",O5418,1),0)</f>
        <v/>
      </c>
      <c r="Y5418" s="12">
        <f>IF(OR(LEFT(K5418,4)="LVAX",LEFT(K5418,6)="MV15AX",LEFT(K5418,4)="CTAX",LEFT(K5418,2)="W|"),2*N5418*O5418,0)</f>
        <v/>
      </c>
      <c r="Z5418" s="12" t="inlineStr">
        <is>
          <t>VD 1.5 %</t>
        </is>
      </c>
      <c r="AA5418" s="12">
        <f>N5418*O5418</f>
        <v/>
      </c>
    </row>
    <row r="5419">
      <c r="A5419" s="12" t="inlineStr">
        <is>
          <t>I-P-0240</t>
        </is>
      </c>
      <c r="B5419" s="12" t="inlineStr">
        <is>
          <t>I</t>
        </is>
      </c>
      <c r="C5419" s="12" t="inlineStr">
        <is>
          <t>Modular / portable power</t>
        </is>
      </c>
      <c r="D5419" s="12" t="inlineStr">
        <is>
          <t>Motor 6 of 6, 22 kW</t>
        </is>
      </c>
      <c r="E5419" s="12" t="inlineStr"/>
      <c r="F5419" s="12" t="inlineStr">
        <is>
          <t>PCM: power control module</t>
        </is>
      </c>
      <c r="G5419" s="12" t="inlineStr">
        <is>
          <t>RICE-8</t>
        </is>
      </c>
      <c r="H5419" s="12" t="inlineStr">
        <is>
          <t>RICE engine-generator 8</t>
        </is>
      </c>
      <c r="I5419" s="12" t="inlineStr">
        <is>
          <t>LV 600 V</t>
        </is>
      </c>
      <c r="J5419" s="12" t="inlineStr">
        <is>
          <t>Type TC-ER 600 V 3/C Cu XHHW-2 + ground, PVC jacket</t>
        </is>
      </c>
      <c r="K5419" s="12" t="inlineStr">
        <is>
          <t>LV|3/C+G|8</t>
        </is>
      </c>
      <c r="L5419" s="12" t="inlineStr">
        <is>
          <t>3/C+G</t>
        </is>
      </c>
      <c r="M5419" s="12" t="inlineStr">
        <is>
          <t>8</t>
        </is>
      </c>
      <c r="N5419" s="12" t="n">
        <v>1</v>
      </c>
      <c r="O5419" s="12" t="n">
        <v>1</v>
      </c>
      <c r="P5419" s="12" t="n">
        <v>480</v>
      </c>
      <c r="Q5419" s="12" t="n">
        <v>22</v>
      </c>
      <c r="R5419" s="12" t="n">
        <v>31.1</v>
      </c>
      <c r="S5419" s="12" t="inlineStr">
        <is>
          <t>Duct bank</t>
        </is>
      </c>
      <c r="T5419" s="15" t="n">
        <v>57</v>
      </c>
      <c r="U5419" s="15" t="n">
        <v>97</v>
      </c>
      <c r="V5419" s="15">
        <f>ROUNDUP((T5419+U5419+2*'Read Me'!$B$13)*(1+'Read Me'!$B$12),-1)</f>
        <v/>
      </c>
      <c r="W5419" s="15">
        <f>V5419*N5419*O5419</f>
        <v/>
      </c>
      <c r="X5419" s="12">
        <f>IF(LEFT(I5419,2)="MV",2*N5419*IF(L5419="1/C",O5419,1),0)</f>
        <v/>
      </c>
      <c r="Y5419" s="12">
        <f>IF(OR(LEFT(K5419,4)="LVAX",LEFT(K5419,6)="MV15AX",LEFT(K5419,4)="CTAX",LEFT(K5419,2)="W|"),2*N5419*O5419,0)</f>
        <v/>
      </c>
      <c r="Z5419" s="12" t="inlineStr">
        <is>
          <t>VD 1.5 %</t>
        </is>
      </c>
      <c r="AA5419" s="12">
        <f>N5419*O5419</f>
        <v/>
      </c>
    </row>
    <row r="5420">
      <c r="A5420" s="12" t="inlineStr">
        <is>
          <t>I-P-0241</t>
        </is>
      </c>
      <c r="B5420" s="12" t="inlineStr">
        <is>
          <t>I</t>
        </is>
      </c>
      <c r="C5420" s="12" t="inlineStr">
        <is>
          <t>Modular / portable power</t>
        </is>
      </c>
      <c r="D5420" s="12" t="inlineStr">
        <is>
          <t>480 V welding receptacle 1</t>
        </is>
      </c>
      <c r="E5420" s="12" t="inlineStr"/>
      <c r="F5420" s="12" t="inlineStr">
        <is>
          <t>PCM: power control module</t>
        </is>
      </c>
      <c r="G5420" s="12" t="inlineStr">
        <is>
          <t>RICE-8</t>
        </is>
      </c>
      <c r="H5420" s="12" t="inlineStr">
        <is>
          <t>RICE engine-generator 8</t>
        </is>
      </c>
      <c r="I5420" s="12" t="inlineStr">
        <is>
          <t>LV 600 V</t>
        </is>
      </c>
      <c r="J5420" s="12" t="inlineStr">
        <is>
          <t>Type TC-ER 600 V 3/C Cu XHHW-2 + ground, PVC jacket</t>
        </is>
      </c>
      <c r="K5420" s="12" t="inlineStr">
        <is>
          <t>LV|3/C+G|2</t>
        </is>
      </c>
      <c r="L5420" s="12" t="inlineStr">
        <is>
          <t>3/C+G</t>
        </is>
      </c>
      <c r="M5420" s="12" t="inlineStr">
        <is>
          <t>2</t>
        </is>
      </c>
      <c r="N5420" s="12" t="n">
        <v>1</v>
      </c>
      <c r="O5420" s="12" t="n">
        <v>1</v>
      </c>
      <c r="P5420" s="12" t="n">
        <v>480</v>
      </c>
      <c r="Q5420" s="12" t="n">
        <v>60</v>
      </c>
      <c r="R5420" s="12" t="n">
        <v>76</v>
      </c>
      <c r="S5420" s="12" t="inlineStr">
        <is>
          <t>Duct bank</t>
        </is>
      </c>
      <c r="T5420" s="15" t="n">
        <v>57</v>
      </c>
      <c r="U5420" s="15" t="n">
        <v>97</v>
      </c>
      <c r="V5420" s="15">
        <f>ROUNDUP((T5420+U5420+2*'Read Me'!$B$13)*(1+'Read Me'!$B$12),-1)</f>
        <v/>
      </c>
      <c r="W5420" s="15">
        <f>V5420*N5420*O5420</f>
        <v/>
      </c>
      <c r="X5420" s="12">
        <f>IF(LEFT(I5420,2)="MV",2*N5420*IF(L5420="1/C",O5420,1),0)</f>
        <v/>
      </c>
      <c r="Y5420" s="12">
        <f>IF(OR(LEFT(K5420,4)="LVAX",LEFT(K5420,6)="MV15AX",LEFT(K5420,4)="CTAX",LEFT(K5420,2)="W|"),2*N5420*O5420,0)</f>
        <v/>
      </c>
      <c r="Z5420" s="12" t="inlineStr">
        <is>
          <t>VD 0.9 %</t>
        </is>
      </c>
      <c r="AA5420" s="12">
        <f>N5420*O5420</f>
        <v/>
      </c>
    </row>
    <row r="5421">
      <c r="A5421" s="12" t="inlineStr">
        <is>
          <t>I-P-0242</t>
        </is>
      </c>
      <c r="B5421" s="12" t="inlineStr">
        <is>
          <t>I</t>
        </is>
      </c>
      <c r="C5421" s="12" t="inlineStr">
        <is>
          <t>Modular / portable power</t>
        </is>
      </c>
      <c r="D5421" s="12" t="inlineStr">
        <is>
          <t>480 V welding receptacle 2</t>
        </is>
      </c>
      <c r="E5421" s="12" t="inlineStr"/>
      <c r="F5421" s="12" t="inlineStr">
        <is>
          <t>PCM: power control module</t>
        </is>
      </c>
      <c r="G5421" s="12" t="inlineStr">
        <is>
          <t>RICE-8</t>
        </is>
      </c>
      <c r="H5421" s="12" t="inlineStr">
        <is>
          <t>RICE engine-generator 8</t>
        </is>
      </c>
      <c r="I5421" s="12" t="inlineStr">
        <is>
          <t>LV 600 V</t>
        </is>
      </c>
      <c r="J5421" s="12" t="inlineStr">
        <is>
          <t>Type TC-ER 600 V 3/C Cu XHHW-2 + ground, PVC jacket</t>
        </is>
      </c>
      <c r="K5421" s="12" t="inlineStr">
        <is>
          <t>LV|3/C+G|2</t>
        </is>
      </c>
      <c r="L5421" s="12" t="inlineStr">
        <is>
          <t>3/C+G</t>
        </is>
      </c>
      <c r="M5421" s="12" t="inlineStr">
        <is>
          <t>2</t>
        </is>
      </c>
      <c r="N5421" s="12" t="n">
        <v>1</v>
      </c>
      <c r="O5421" s="12" t="n">
        <v>1</v>
      </c>
      <c r="P5421" s="12" t="n">
        <v>480</v>
      </c>
      <c r="Q5421" s="12" t="n">
        <v>60</v>
      </c>
      <c r="R5421" s="12" t="n">
        <v>76</v>
      </c>
      <c r="S5421" s="12" t="inlineStr">
        <is>
          <t>Duct bank</t>
        </is>
      </c>
      <c r="T5421" s="15" t="n">
        <v>57</v>
      </c>
      <c r="U5421" s="15" t="n">
        <v>97</v>
      </c>
      <c r="V5421" s="15">
        <f>ROUNDUP((T5421+U5421+2*'Read Me'!$B$13)*(1+'Read Me'!$B$12),-1)</f>
        <v/>
      </c>
      <c r="W5421" s="15">
        <f>V5421*N5421*O5421</f>
        <v/>
      </c>
      <c r="X5421" s="12">
        <f>IF(LEFT(I5421,2)="MV",2*N5421*IF(L5421="1/C",O5421,1),0)</f>
        <v/>
      </c>
      <c r="Y5421" s="12">
        <f>IF(OR(LEFT(K5421,4)="LVAX",LEFT(K5421,6)="MV15AX",LEFT(K5421,4)="CTAX",LEFT(K5421,2)="W|"),2*N5421*O5421,0)</f>
        <v/>
      </c>
      <c r="Z5421" s="12" t="inlineStr">
        <is>
          <t>VD 0.9 %</t>
        </is>
      </c>
      <c r="AA5421" s="12">
        <f>N5421*O5421</f>
        <v/>
      </c>
    </row>
    <row r="5422">
      <c r="A5422" s="12" t="inlineStr">
        <is>
          <t>I-P-0243</t>
        </is>
      </c>
      <c r="B5422" s="12" t="inlineStr">
        <is>
          <t>I</t>
        </is>
      </c>
      <c r="C5422" s="12" t="inlineStr">
        <is>
          <t>Modular / portable power</t>
        </is>
      </c>
      <c r="D5422" s="12" t="inlineStr">
        <is>
          <t>480 V welding receptacle 3</t>
        </is>
      </c>
      <c r="E5422" s="12" t="inlineStr"/>
      <c r="F5422" s="12" t="inlineStr">
        <is>
          <t>PCM: power control module</t>
        </is>
      </c>
      <c r="G5422" s="12" t="inlineStr">
        <is>
          <t>RICE-8</t>
        </is>
      </c>
      <c r="H5422" s="12" t="inlineStr">
        <is>
          <t>RICE engine-generator 8</t>
        </is>
      </c>
      <c r="I5422" s="12" t="inlineStr">
        <is>
          <t>LV 600 V</t>
        </is>
      </c>
      <c r="J5422" s="12" t="inlineStr">
        <is>
          <t>Type TC-ER 600 V 3/C Cu XHHW-2 + ground, PVC jacket</t>
        </is>
      </c>
      <c r="K5422" s="12" t="inlineStr">
        <is>
          <t>LV|3/C+G|2</t>
        </is>
      </c>
      <c r="L5422" s="12" t="inlineStr">
        <is>
          <t>3/C+G</t>
        </is>
      </c>
      <c r="M5422" s="12" t="inlineStr">
        <is>
          <t>2</t>
        </is>
      </c>
      <c r="N5422" s="12" t="n">
        <v>1</v>
      </c>
      <c r="O5422" s="12" t="n">
        <v>1</v>
      </c>
      <c r="P5422" s="12" t="n">
        <v>480</v>
      </c>
      <c r="Q5422" s="12" t="n">
        <v>60</v>
      </c>
      <c r="R5422" s="12" t="n">
        <v>76</v>
      </c>
      <c r="S5422" s="12" t="inlineStr">
        <is>
          <t>Duct bank</t>
        </is>
      </c>
      <c r="T5422" s="15" t="n">
        <v>57</v>
      </c>
      <c r="U5422" s="15" t="n">
        <v>97</v>
      </c>
      <c r="V5422" s="15">
        <f>ROUNDUP((T5422+U5422+2*'Read Me'!$B$13)*(1+'Read Me'!$B$12),-1)</f>
        <v/>
      </c>
      <c r="W5422" s="15">
        <f>V5422*N5422*O5422</f>
        <v/>
      </c>
      <c r="X5422" s="12">
        <f>IF(LEFT(I5422,2)="MV",2*N5422*IF(L5422="1/C",O5422,1),0)</f>
        <v/>
      </c>
      <c r="Y5422" s="12">
        <f>IF(OR(LEFT(K5422,4)="LVAX",LEFT(K5422,6)="MV15AX",LEFT(K5422,4)="CTAX",LEFT(K5422,2)="W|"),2*N5422*O5422,0)</f>
        <v/>
      </c>
      <c r="Z5422" s="12" t="inlineStr">
        <is>
          <t>VD 0.9 %</t>
        </is>
      </c>
      <c r="AA5422" s="12">
        <f>N5422*O5422</f>
        <v/>
      </c>
    </row>
    <row r="5423">
      <c r="A5423" s="12" t="inlineStr">
        <is>
          <t>I-P-0244</t>
        </is>
      </c>
      <c r="B5423" s="12" t="inlineStr">
        <is>
          <t>I</t>
        </is>
      </c>
      <c r="C5423" s="12" t="inlineStr">
        <is>
          <t>Modular / portable power</t>
        </is>
      </c>
      <c r="D5423" s="12" t="inlineStr">
        <is>
          <t>480 V welding receptacle 4</t>
        </is>
      </c>
      <c r="E5423" s="12" t="inlineStr"/>
      <c r="F5423" s="12" t="inlineStr">
        <is>
          <t>PCM: power control module</t>
        </is>
      </c>
      <c r="G5423" s="12" t="inlineStr">
        <is>
          <t>RICE-8</t>
        </is>
      </c>
      <c r="H5423" s="12" t="inlineStr">
        <is>
          <t>RICE engine-generator 8</t>
        </is>
      </c>
      <c r="I5423" s="12" t="inlineStr">
        <is>
          <t>LV 600 V</t>
        </is>
      </c>
      <c r="J5423" s="12" t="inlineStr">
        <is>
          <t>Type TC-ER 600 V 3/C Cu XHHW-2 + ground, PVC jacket</t>
        </is>
      </c>
      <c r="K5423" s="12" t="inlineStr">
        <is>
          <t>LV|3/C+G|2</t>
        </is>
      </c>
      <c r="L5423" s="12" t="inlineStr">
        <is>
          <t>3/C+G</t>
        </is>
      </c>
      <c r="M5423" s="12" t="inlineStr">
        <is>
          <t>2</t>
        </is>
      </c>
      <c r="N5423" s="12" t="n">
        <v>1</v>
      </c>
      <c r="O5423" s="12" t="n">
        <v>1</v>
      </c>
      <c r="P5423" s="12" t="n">
        <v>480</v>
      </c>
      <c r="Q5423" s="12" t="n">
        <v>60</v>
      </c>
      <c r="R5423" s="12" t="n">
        <v>76</v>
      </c>
      <c r="S5423" s="12" t="inlineStr">
        <is>
          <t>Duct bank</t>
        </is>
      </c>
      <c r="T5423" s="15" t="n">
        <v>57</v>
      </c>
      <c r="U5423" s="15" t="n">
        <v>97</v>
      </c>
      <c r="V5423" s="15">
        <f>ROUNDUP((T5423+U5423+2*'Read Me'!$B$13)*(1+'Read Me'!$B$12),-1)</f>
        <v/>
      </c>
      <c r="W5423" s="15">
        <f>V5423*N5423*O5423</f>
        <v/>
      </c>
      <c r="X5423" s="12">
        <f>IF(LEFT(I5423,2)="MV",2*N5423*IF(L5423="1/C",O5423,1),0)</f>
        <v/>
      </c>
      <c r="Y5423" s="12">
        <f>IF(OR(LEFT(K5423,4)="LVAX",LEFT(K5423,6)="MV15AX",LEFT(K5423,4)="CTAX",LEFT(K5423,2)="W|"),2*N5423*O5423,0)</f>
        <v/>
      </c>
      <c r="Z5423" s="12" t="inlineStr">
        <is>
          <t>VD 0.9 %</t>
        </is>
      </c>
      <c r="AA5423" s="12">
        <f>N5423*O5423</f>
        <v/>
      </c>
    </row>
    <row r="5424">
      <c r="A5424" s="12" t="inlineStr">
        <is>
          <t>I-P-0245</t>
        </is>
      </c>
      <c r="B5424" s="12" t="inlineStr">
        <is>
          <t>I</t>
        </is>
      </c>
      <c r="C5424" s="12" t="inlineStr">
        <is>
          <t>Modular / portable power</t>
        </is>
      </c>
      <c r="D5424" s="12" t="inlineStr">
        <is>
          <t>LV power feeder</t>
        </is>
      </c>
      <c r="E5424" s="12" t="inlineStr"/>
      <c r="F5424" s="12" t="inlineStr">
        <is>
          <t>PCM: power control module</t>
        </is>
      </c>
      <c r="G5424" s="12" t="inlineStr"/>
      <c r="H5424" s="12" t="inlineStr">
        <is>
          <t>Reagent storage</t>
        </is>
      </c>
      <c r="I5424" s="12" t="inlineStr">
        <is>
          <t>LV 600 V</t>
        </is>
      </c>
      <c r="J5424" s="12" t="inlineStr">
        <is>
          <t>Type TC-ER 600 V 3/C Cu XHHW-2 + ground, PVC jacket</t>
        </is>
      </c>
      <c r="K5424" s="12" t="inlineStr">
        <is>
          <t>LV|3/C+G|8</t>
        </is>
      </c>
      <c r="L5424" s="12" t="inlineStr">
        <is>
          <t>3/C+G</t>
        </is>
      </c>
      <c r="M5424" s="12" t="inlineStr">
        <is>
          <t>8</t>
        </is>
      </c>
      <c r="N5424" s="12" t="n">
        <v>1</v>
      </c>
      <c r="O5424" s="12" t="n">
        <v>1</v>
      </c>
      <c r="P5424" s="12" t="n">
        <v>480</v>
      </c>
      <c r="Q5424" s="12" t="n">
        <v>15</v>
      </c>
      <c r="R5424" s="12" t="n">
        <v>21.2</v>
      </c>
      <c r="S5424" s="12" t="inlineStr">
        <is>
          <t>Duct bank</t>
        </is>
      </c>
      <c r="T5424" s="15" t="n">
        <v>258</v>
      </c>
      <c r="U5424" s="15" t="n">
        <v>110</v>
      </c>
      <c r="V5424" s="15">
        <f>ROUNDUP((T5424+U5424+2*'Read Me'!$B$13)*(1+'Read Me'!$B$12),-1)</f>
        <v/>
      </c>
      <c r="W5424" s="15">
        <f>V5424*N5424*O5424</f>
        <v/>
      </c>
      <c r="X5424" s="12">
        <f>IF(LEFT(I5424,2)="MV",2*N5424*IF(L5424="1/C",O5424,1),0)</f>
        <v/>
      </c>
      <c r="Y5424" s="12">
        <f>IF(OR(LEFT(K5424,4)="LVAX",LEFT(K5424,6)="MV15AX",LEFT(K5424,4)="CTAX",LEFT(K5424,2)="W|"),2*N5424*O5424,0)</f>
        <v/>
      </c>
      <c r="Z5424" s="12" t="inlineStr">
        <is>
          <t>VD 2.4 %</t>
        </is>
      </c>
      <c r="AA5424" s="12">
        <f>N5424*O5424</f>
        <v/>
      </c>
    </row>
    <row r="5425">
      <c r="A5425" s="12" t="inlineStr">
        <is>
          <t>I-P-0246</t>
        </is>
      </c>
      <c r="B5425" s="12" t="inlineStr">
        <is>
          <t>I</t>
        </is>
      </c>
      <c r="C5425" s="12" t="inlineStr">
        <is>
          <t>Modular / portable power</t>
        </is>
      </c>
      <c r="D5425" s="12" t="inlineStr">
        <is>
          <t>SC-1 CEMS shelter panel: analysers, heated sample line, lighting</t>
        </is>
      </c>
      <c r="E5425" s="12" t="inlineStr"/>
      <c r="F5425" s="12" t="inlineStr">
        <is>
          <t>SC-1 PCM + 15 kV GCB</t>
        </is>
      </c>
      <c r="G5425" s="12" t="inlineStr"/>
      <c r="H5425" s="12" t="inlineStr">
        <is>
          <t>SC-1 CEMS shelter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19</v>
      </c>
      <c r="S5425" s="12" t="inlineStr">
        <is>
          <t>Duct bank</t>
        </is>
      </c>
      <c r="T5425" s="15" t="n">
        <v>81</v>
      </c>
      <c r="U5425" s="15" t="n">
        <v>106</v>
      </c>
      <c r="V5425" s="15">
        <f>ROUNDUP((T5425+U5425+2*'Read Me'!$B$13)*(1+'Read Me'!$B$12),-1)</f>
        <v/>
      </c>
      <c r="W5425" s="15">
        <f>V5425*N5425*O5425</f>
        <v/>
      </c>
      <c r="X5425" s="12">
        <f>IF(LEFT(I5425,2)="MV",2*N5425*IF(L5425="1/C",O5425,1),0)</f>
        <v/>
      </c>
      <c r="Y5425" s="12">
        <f>IF(OR(LEFT(K5425,4)="LVAX",LEFT(K5425,6)="MV15AX",LEFT(K5425,4)="CTAX",LEFT(K5425,2)="W|"),2*N5425*O5425,0)</f>
        <v/>
      </c>
      <c r="Z5425" s="12" t="inlineStr">
        <is>
          <t>VD 1.7 %</t>
        </is>
      </c>
      <c r="AA5425" s="12">
        <f>N5425*O5425</f>
        <v/>
      </c>
    </row>
    <row r="5426">
      <c r="A5426" s="12" t="inlineStr">
        <is>
          <t>I-P-0247</t>
        </is>
      </c>
      <c r="B5426" s="12" t="inlineStr">
        <is>
          <t>I</t>
        </is>
      </c>
      <c r="C5426" s="12" t="inlineStr">
        <is>
          <t>Modular / portable power</t>
        </is>
      </c>
      <c r="D5426" s="12" t="inlineStr">
        <is>
          <t>Motor 1 of 2, 5 kW</t>
        </is>
      </c>
      <c r="E5426" s="12" t="inlineStr"/>
      <c r="F5426" s="12" t="inlineStr">
        <is>
          <t>SC-1 PCM + 15 kV GCB</t>
        </is>
      </c>
      <c r="G5426" s="12" t="inlineStr"/>
      <c r="H5426" s="12" t="inlineStr">
        <is>
          <t>SC-1 CEMS shelter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5</v>
      </c>
      <c r="R5426" s="12" t="n">
        <v>7.1</v>
      </c>
      <c r="S5426" s="12" t="inlineStr">
        <is>
          <t>Duct bank</t>
        </is>
      </c>
      <c r="T5426" s="15" t="n">
        <v>81</v>
      </c>
      <c r="U5426" s="15" t="n">
        <v>106</v>
      </c>
      <c r="V5426" s="15">
        <f>ROUNDUP((T5426+U5426+2*'Read Me'!$B$13)*(1+'Read Me'!$B$12),-1)</f>
        <v/>
      </c>
      <c r="W5426" s="15">
        <f>V5426*N5426*O5426</f>
        <v/>
      </c>
      <c r="X5426" s="12">
        <f>IF(LEFT(I5426,2)="MV",2*N5426*IF(L5426="1/C",O5426,1),0)</f>
        <v/>
      </c>
      <c r="Y5426" s="12">
        <f>IF(OR(LEFT(K5426,4)="LVAX",LEFT(K5426,6)="MV15AX",LEFT(K5426,4)="CTAX",LEFT(K5426,2)="W|"),2*N5426*O5426,0)</f>
        <v/>
      </c>
      <c r="Z5426" s="12" t="inlineStr">
        <is>
          <t>VD 0.6 %</t>
        </is>
      </c>
      <c r="AA5426" s="12">
        <f>N5426*O5426</f>
        <v/>
      </c>
    </row>
    <row r="5427">
      <c r="A5427" s="12" t="inlineStr">
        <is>
          <t>I-P-0248</t>
        </is>
      </c>
      <c r="B5427" s="12" t="inlineStr">
        <is>
          <t>I</t>
        </is>
      </c>
      <c r="C5427" s="12" t="inlineStr">
        <is>
          <t>Modular / portable power</t>
        </is>
      </c>
      <c r="D5427" s="12" t="inlineStr">
        <is>
          <t>Motor 2 of 2, 5 kW</t>
        </is>
      </c>
      <c r="E5427" s="12" t="inlineStr"/>
      <c r="F5427" s="12" t="inlineStr">
        <is>
          <t>SC-1 PCM + 15 kV GCB</t>
        </is>
      </c>
      <c r="G5427" s="12" t="inlineStr"/>
      <c r="H5427" s="12" t="inlineStr">
        <is>
          <t>SC-1 CEMS shelter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5</v>
      </c>
      <c r="R5427" s="12" t="n">
        <v>7.1</v>
      </c>
      <c r="S5427" s="12" t="inlineStr">
        <is>
          <t>Duct bank</t>
        </is>
      </c>
      <c r="T5427" s="15" t="n">
        <v>81</v>
      </c>
      <c r="U5427" s="15" t="n">
        <v>106</v>
      </c>
      <c r="V5427" s="15">
        <f>ROUNDUP((T5427+U5427+2*'Read Me'!$B$13)*(1+'Read Me'!$B$12),-1)</f>
        <v/>
      </c>
      <c r="W5427" s="15">
        <f>V5427*N5427*O5427</f>
        <v/>
      </c>
      <c r="X5427" s="12">
        <f>IF(LEFT(I5427,2)="MV",2*N5427*IF(L5427="1/C",O5427,1),0)</f>
        <v/>
      </c>
      <c r="Y5427" s="12">
        <f>IF(OR(LEFT(K5427,4)="LVAX",LEFT(K5427,6)="MV15AX",LEFT(K5427,4)="CTAX",LEFT(K5427,2)="W|"),2*N5427*O5427,0)</f>
        <v/>
      </c>
      <c r="Z5427" s="12" t="inlineStr">
        <is>
          <t>VD 0.6 %</t>
        </is>
      </c>
      <c r="AA5427" s="12">
        <f>N5427*O5427</f>
        <v/>
      </c>
    </row>
    <row r="5428">
      <c r="A5428" s="12" t="inlineStr">
        <is>
          <t>I-P-0249</t>
        </is>
      </c>
      <c r="B5428" s="12" t="inlineStr">
        <is>
          <t>I</t>
        </is>
      </c>
      <c r="C5428" s="12" t="inlineStr">
        <is>
          <t>Modular / portable power</t>
        </is>
      </c>
      <c r="D5428" s="12" t="inlineStr">
        <is>
          <t>SC-1 125 V DC battery to charger / DC panel</t>
        </is>
      </c>
      <c r="E5428" s="12" t="inlineStr"/>
      <c r="F5428" s="12" t="inlineStr">
        <is>
          <t>SC-1 PCM + 15 kV GCB</t>
        </is>
      </c>
      <c r="G5428" s="12" t="inlineStr"/>
      <c r="H5428" s="12" t="inlineStr">
        <is>
          <t>SC-1 PCM + 15 kV GCB</t>
        </is>
      </c>
      <c r="I5428" s="12" t="inlineStr">
        <is>
          <t>LV 600 V</t>
        </is>
      </c>
      <c r="J5428" s="12" t="inlineStr">
        <is>
          <t>XHHW-2 600 V 1/C Cu (feeder sets in tray / duct)</t>
        </is>
      </c>
      <c r="K5428" s="12" t="inlineStr">
        <is>
          <t>LV1C|1/C|4/0</t>
        </is>
      </c>
      <c r="L5428" s="12" t="inlineStr">
        <is>
          <t>1/C</t>
        </is>
      </c>
      <c r="M5428" s="12" t="inlineStr">
        <is>
          <t>4/0</t>
        </is>
      </c>
      <c r="N5428" s="12" t="n">
        <v>1</v>
      </c>
      <c r="O5428" s="12" t="n">
        <v>2</v>
      </c>
      <c r="P5428" s="12" t="n">
        <v>125</v>
      </c>
      <c r="Q5428" s="12" t="n"/>
      <c r="R5428" s="12" t="n"/>
      <c r="S5428" s="12" t="inlineStr">
        <is>
          <t>Tray</t>
        </is>
      </c>
      <c r="T5428" s="15" t="n">
        <v>15</v>
      </c>
      <c r="U5428" s="15" t="n">
        <v>5</v>
      </c>
      <c r="V5428" s="15">
        <f>ROUNDUP((T5428+U5428+2*'Read Me'!$B$13)*(1+'Read Me'!$B$12),-1)</f>
        <v/>
      </c>
      <c r="W5428" s="15">
        <f>V5428*N5428*O5428</f>
        <v/>
      </c>
      <c r="X5428" s="12">
        <f>IF(LEFT(I5428,2)="MV",2*N5428*IF(L5428="1/C",O5428,1),0)</f>
        <v/>
      </c>
      <c r="Y5428" s="12">
        <f>IF(OR(LEFT(K5428,4)="LVAX",LEFT(K5428,6)="MV15AX",LEFT(K5428,4)="CTAX",LEFT(K5428,2)="W|"),2*N5428*O5428,0)</f>
        <v/>
      </c>
      <c r="Z5428" s="12" t="inlineStr">
        <is>
          <t>battery rack inside the PCM</t>
        </is>
      </c>
      <c r="AA5428" s="12">
        <f>N5428*O5428</f>
        <v/>
      </c>
    </row>
    <row r="5429">
      <c r="A5429" s="12" t="inlineStr">
        <is>
          <t>I-P-0250</t>
        </is>
      </c>
      <c r="B5429" s="12" t="inlineStr">
        <is>
          <t>I</t>
        </is>
      </c>
      <c r="C5429" s="12" t="inlineStr">
        <is>
          <t>Modular / portable power</t>
        </is>
      </c>
      <c r="D5429" s="12" t="inlineStr">
        <is>
          <t>SC-1 PCM lighting, receptacles and HVAC (from its own 480 V board)</t>
        </is>
      </c>
      <c r="E5429" s="12" t="inlineStr"/>
      <c r="F5429" s="12" t="inlineStr">
        <is>
          <t>SC-1 PCM + 15 kV GCB</t>
        </is>
      </c>
      <c r="G5429" s="12" t="inlineStr"/>
      <c r="H5429" s="12" t="inlineStr">
        <is>
          <t>SC-1 PCM + 15 kV GCB</t>
        </is>
      </c>
      <c r="I5429" s="12" t="inlineStr">
        <is>
          <t>LV 600 V</t>
        </is>
      </c>
      <c r="J5429" s="12" t="inlineStr">
        <is>
          <t>Type TC-ER 600 V 3/C Cu XHHW-2 + ground, PVC jacket</t>
        </is>
      </c>
      <c r="K5429" s="12" t="inlineStr">
        <is>
          <t>LV|3/C+G|2</t>
        </is>
      </c>
      <c r="L5429" s="12" t="inlineStr">
        <is>
          <t>3/C+G</t>
        </is>
      </c>
      <c r="M5429" s="12" t="inlineStr">
        <is>
          <t>2</t>
        </is>
      </c>
      <c r="N5429" s="12" t="n">
        <v>1</v>
      </c>
      <c r="O5429" s="12" t="n">
        <v>1</v>
      </c>
      <c r="P5429" s="12" t="n">
        <v>480</v>
      </c>
      <c r="Q5429" s="12" t="n">
        <v>40</v>
      </c>
      <c r="R5429" s="12" t="n"/>
      <c r="S5429" s="12" t="inlineStr">
        <is>
          <t>Tray</t>
        </is>
      </c>
      <c r="T5429" s="15" t="n">
        <v>80</v>
      </c>
      <c r="U5429" s="15" t="n">
        <v>10</v>
      </c>
      <c r="V5429" s="15">
        <f>ROUNDUP((T5429+U5429+2*'Read Me'!$B$13)*(1+'Read Me'!$B$12),-1)</f>
        <v/>
      </c>
      <c r="W5429" s="15">
        <f>V5429*N5429*O5429</f>
        <v/>
      </c>
      <c r="X5429" s="12">
        <f>IF(LEFT(I5429,2)="MV",2*N5429*IF(L5429="1/C",O5429,1),0)</f>
        <v/>
      </c>
      <c r="Y5429" s="12">
        <f>IF(OR(LEFT(K5429,4)="LVAX",LEFT(K5429,6)="MV15AX",LEFT(K5429,4)="CTAX",LEFT(K5429,2)="W|"),2*N5429*O5429,0)</f>
        <v/>
      </c>
      <c r="Z5429" s="12" t="inlineStr">
        <is>
          <t>internal to the PCM; aux transformer 13.8 kV / 480 V inside</t>
        </is>
      </c>
      <c r="AA5429" s="12">
        <f>N5429*O5429</f>
        <v/>
      </c>
    </row>
    <row r="5430">
      <c r="A5430" s="12" t="inlineStr">
        <is>
          <t>I-P-0251</t>
        </is>
      </c>
      <c r="B5430" s="12" t="inlineStr">
        <is>
          <t>I</t>
        </is>
      </c>
      <c r="C5430" s="12" t="inlineStr">
        <is>
          <t>Modular / portable power</t>
        </is>
      </c>
      <c r="D5430" s="12" t="inlineStr">
        <is>
          <t>Area / platform lighting circuit 1 (10 fixtures)</t>
        </is>
      </c>
      <c r="E5430" s="12" t="inlineStr"/>
      <c r="F5430" s="12" t="inlineStr">
        <is>
          <t>SC-1 PCM + 15 kV GCB</t>
        </is>
      </c>
      <c r="G5430" s="12" t="inlineStr"/>
      <c r="H5430" s="12" t="inlineStr">
        <is>
          <t>SC-1 SCR / CO catalyst</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3</v>
      </c>
      <c r="R5430" s="12" t="n">
        <v>5</v>
      </c>
      <c r="S5430" s="12" t="inlineStr">
        <is>
          <t>Duct bank</t>
        </is>
      </c>
      <c r="T5430" s="15" t="n">
        <v>355</v>
      </c>
      <c r="U5430" s="15" t="n">
        <v>57</v>
      </c>
      <c r="V5430" s="15">
        <f>ROUNDUP((T5430+U5430+2*'Read Me'!$B$13)*(1+'Read Me'!$B$12),-1)</f>
        <v/>
      </c>
      <c r="W5430" s="15">
        <f>V5430*N5430*O5430</f>
        <v/>
      </c>
      <c r="X5430" s="12">
        <f>IF(LEFT(I5430,2)="MV",2*N5430*IF(L5430="1/C",O5430,1),0)</f>
        <v/>
      </c>
      <c r="Y5430" s="12">
        <f>IF(OR(LEFT(K5430,4)="LVAX",LEFT(K5430,6)="MV15AX",LEFT(K5430,4)="CTAX",LEFT(K5430,2)="W|"),2*N5430*O5430,0)</f>
        <v/>
      </c>
      <c r="Z5430" s="12" t="inlineStr">
        <is>
          <t>fixture-to-fixture run included</t>
        </is>
      </c>
      <c r="AA5430" s="12">
        <f>N5430*O5430</f>
        <v/>
      </c>
    </row>
    <row r="5431">
      <c r="A5431" s="12" t="inlineStr">
        <is>
          <t>I-P-0252</t>
        </is>
      </c>
      <c r="B5431" s="12" t="inlineStr">
        <is>
          <t>I</t>
        </is>
      </c>
      <c r="C5431" s="12" t="inlineStr">
        <is>
          <t>Modular / portable power</t>
        </is>
      </c>
      <c r="D5431" s="12" t="inlineStr">
        <is>
          <t>SC-1 ammonia vaporiser electric heater</t>
        </is>
      </c>
      <c r="E5431" s="12" t="inlineStr"/>
      <c r="F5431" s="12" t="inlineStr">
        <is>
          <t>SC-1 PCM + 15 kV GCB</t>
        </is>
      </c>
      <c r="G5431" s="12" t="inlineStr"/>
      <c r="H5431" s="12" t="inlineStr">
        <is>
          <t>SC-1 ammonia flow-control unit</t>
        </is>
      </c>
      <c r="I5431" s="12" t="inlineStr">
        <is>
          <t>LV 600 V</t>
        </is>
      </c>
      <c r="J5431" s="12" t="inlineStr">
        <is>
          <t>Type TC-ER 600 V 3/C Cu XHHW-2 + ground, PVC jacket</t>
        </is>
      </c>
      <c r="K5431" s="12" t="inlineStr">
        <is>
          <t>LV|3/C+G|4</t>
        </is>
      </c>
      <c r="L5431" s="12" t="inlineStr">
        <is>
          <t>3/C+G</t>
        </is>
      </c>
      <c r="M5431" s="12" t="inlineStr">
        <is>
          <t>4</t>
        </is>
      </c>
      <c r="N5431" s="12" t="n">
        <v>1</v>
      </c>
      <c r="O5431" s="12" t="n">
        <v>1</v>
      </c>
      <c r="P5431" s="12" t="n">
        <v>480</v>
      </c>
      <c r="Q5431" s="12" t="n">
        <v>45</v>
      </c>
      <c r="R5431" s="12" t="n">
        <v>57</v>
      </c>
      <c r="S5431" s="12" t="inlineStr">
        <is>
          <t>Duct bank</t>
        </is>
      </c>
      <c r="T5431" s="15" t="n">
        <v>55</v>
      </c>
      <c r="U5431" s="15" t="n">
        <v>55</v>
      </c>
      <c r="V5431" s="15">
        <f>ROUNDUP((T5431+U5431+2*'Read Me'!$B$13)*(1+'Read Me'!$B$12),-1)</f>
        <v/>
      </c>
      <c r="W5431" s="15">
        <f>V5431*N5431*O5431</f>
        <v/>
      </c>
      <c r="X5431" s="12">
        <f>IF(LEFT(I5431,2)="MV",2*N5431*IF(L5431="1/C",O5431,1),0)</f>
        <v/>
      </c>
      <c r="Y5431" s="12">
        <f>IF(OR(LEFT(K5431,4)="LVAX",LEFT(K5431,6)="MV15AX",LEFT(K5431,4)="CTAX",LEFT(K5431,2)="W|"),2*N5431*O5431,0)</f>
        <v/>
      </c>
      <c r="Z5431" s="12" t="inlineStr">
        <is>
          <t>VD 0.8 %</t>
        </is>
      </c>
      <c r="AA5431" s="12">
        <f>N5431*O5431</f>
        <v/>
      </c>
    </row>
    <row r="5432">
      <c r="A5432" s="12" t="inlineStr">
        <is>
          <t>I-P-0253</t>
        </is>
      </c>
      <c r="B5432" s="12" t="inlineStr">
        <is>
          <t>I</t>
        </is>
      </c>
      <c r="C5432" s="12" t="inlineStr">
        <is>
          <t>Modular / portable power</t>
        </is>
      </c>
      <c r="D5432" s="12" t="inlineStr">
        <is>
          <t>Motor 1 of 2, 7.5 kW</t>
        </is>
      </c>
      <c r="E5432" s="12" t="inlineStr"/>
      <c r="F5432" s="12" t="inlineStr">
        <is>
          <t>SC-1 PCM + 15 kV GCB</t>
        </is>
      </c>
      <c r="G5432" s="12" t="inlineStr"/>
      <c r="H5432" s="12" t="inlineStr">
        <is>
          <t>SC-1 ammonia flow-control unit</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7.5</v>
      </c>
      <c r="R5432" s="12" t="n">
        <v>10.6</v>
      </c>
      <c r="S5432" s="12" t="inlineStr">
        <is>
          <t>Duct bank</t>
        </is>
      </c>
      <c r="T5432" s="15" t="n">
        <v>55</v>
      </c>
      <c r="U5432" s="15" t="n">
        <v>55</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I-P-0254</t>
        </is>
      </c>
      <c r="B5433" s="12" t="inlineStr">
        <is>
          <t>I</t>
        </is>
      </c>
      <c r="C5433" s="12" t="inlineStr">
        <is>
          <t>Modular / portable power</t>
        </is>
      </c>
      <c r="D5433" s="12" t="inlineStr">
        <is>
          <t>Motor 2 of 2, 7.5 kW</t>
        </is>
      </c>
      <c r="E5433" s="12" t="inlineStr"/>
      <c r="F5433" s="12" t="inlineStr">
        <is>
          <t>SC-1 PCM + 15 kV GCB</t>
        </is>
      </c>
      <c r="G5433" s="12" t="inlineStr"/>
      <c r="H5433" s="12" t="inlineStr">
        <is>
          <t>SC-1 ammonia flow-control unit</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7.5</v>
      </c>
      <c r="R5433" s="12" t="n">
        <v>10.6</v>
      </c>
      <c r="S5433" s="12" t="inlineStr">
        <is>
          <t>Duct bank</t>
        </is>
      </c>
      <c r="T5433" s="15" t="n">
        <v>55</v>
      </c>
      <c r="U5433" s="15" t="n">
        <v>55</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I-P-0255</t>
        </is>
      </c>
      <c r="B5434" s="12" t="inlineStr">
        <is>
          <t>I</t>
        </is>
      </c>
      <c r="C5434" s="12" t="inlineStr">
        <is>
          <t>Modular / portable power</t>
        </is>
      </c>
      <c r="D5434" s="12" t="inlineStr">
        <is>
          <t>SC-1 water-wash tank heater</t>
        </is>
      </c>
      <c r="E5434" s="12" t="inlineStr"/>
      <c r="F5434" s="12" t="inlineStr">
        <is>
          <t>SC-1 PCM + 15 kV GCB</t>
        </is>
      </c>
      <c r="G5434" s="12" t="inlineStr"/>
      <c r="H5434" s="12" t="inlineStr">
        <is>
          <t>SC-1 auxiliary skids: fuel-gas module, water-wash skid</t>
        </is>
      </c>
      <c r="I5434" s="12" t="inlineStr">
        <is>
          <t>LV 600 V</t>
        </is>
      </c>
      <c r="J5434" s="12" t="inlineStr">
        <is>
          <t>ARMOR-X MC-HL 600 V 3/C Cu XHHW-2 + ground, CWA, black PVC (Class I Div 2)</t>
        </is>
      </c>
      <c r="K5434" s="12" t="inlineStr">
        <is>
          <t>LVAX|3/C+G|10</t>
        </is>
      </c>
      <c r="L5434" s="12" t="inlineStr">
        <is>
          <t>3/C+G</t>
        </is>
      </c>
      <c r="M5434" s="12" t="inlineStr">
        <is>
          <t>10</t>
        </is>
      </c>
      <c r="N5434" s="12" t="n">
        <v>1</v>
      </c>
      <c r="O5434" s="12" t="n">
        <v>1</v>
      </c>
      <c r="P5434" s="12" t="n">
        <v>480</v>
      </c>
      <c r="Q5434" s="12" t="n">
        <v>6</v>
      </c>
      <c r="R5434" s="12" t="n">
        <v>7.6</v>
      </c>
      <c r="S5434" s="12" t="inlineStr">
        <is>
          <t>Tray</t>
        </is>
      </c>
      <c r="T5434" s="15" t="n">
        <v>5</v>
      </c>
      <c r="U5434" s="15" t="n">
        <v>49</v>
      </c>
      <c r="V5434" s="15">
        <f>ROUNDUP((T5434+U5434+2*'Read Me'!$B$13)*(1+'Read Me'!$B$12),-1)</f>
        <v/>
      </c>
      <c r="W5434" s="15">
        <f>V5434*N5434*O5434</f>
        <v/>
      </c>
      <c r="X5434" s="12">
        <f>IF(LEFT(I5434,2)="MV",2*N5434*IF(L5434="1/C",O5434,1),0)</f>
        <v/>
      </c>
      <c r="Y5434" s="12">
        <f>IF(OR(LEFT(K5434,4)="LVAX",LEFT(K5434,6)="MV15AX",LEFT(K5434,4)="CTAX",LEFT(K5434,2)="W|"),2*N5434*O5434,0)</f>
        <v/>
      </c>
      <c r="Z5434" s="12" t="inlineStr">
        <is>
          <t>VD 0.2 %</t>
        </is>
      </c>
      <c r="AA5434" s="12">
        <f>N5434*O5434</f>
        <v/>
      </c>
    </row>
    <row r="5435">
      <c r="A5435" s="12" t="inlineStr">
        <is>
          <t>I-P-0256</t>
        </is>
      </c>
      <c r="B5435" s="12" t="inlineStr">
        <is>
          <t>I</t>
        </is>
      </c>
      <c r="C5435" s="12" t="inlineStr">
        <is>
          <t>Modular / portable power</t>
        </is>
      </c>
      <c r="D5435" s="12" t="inlineStr">
        <is>
          <t>Motor 1 of 1, 7.5 kW</t>
        </is>
      </c>
      <c r="E5435" s="12" t="inlineStr"/>
      <c r="F5435" s="12" t="inlineStr">
        <is>
          <t>SC-1 PCM + 15 kV GCB</t>
        </is>
      </c>
      <c r="G5435" s="12" t="inlineStr"/>
      <c r="H5435" s="12" t="inlineStr">
        <is>
          <t>SC-1 auxiliary skids: fuel-gas module, water-wash skid</t>
        </is>
      </c>
      <c r="I5435" s="12" t="inlineStr">
        <is>
          <t>LV 600 V</t>
        </is>
      </c>
      <c r="J5435" s="12" t="inlineStr">
        <is>
          <t>ARMOR-X MC-HL 600 V 3/C Cu XHHW-2 + ground, CWA, black PVC (Class I Div 2)</t>
        </is>
      </c>
      <c r="K5435" s="12" t="inlineStr">
        <is>
          <t>LVAX|3/C+G|10</t>
        </is>
      </c>
      <c r="L5435" s="12" t="inlineStr">
        <is>
          <t>3/C+G</t>
        </is>
      </c>
      <c r="M5435" s="12" t="inlineStr">
        <is>
          <t>10</t>
        </is>
      </c>
      <c r="N5435" s="12" t="n">
        <v>1</v>
      </c>
      <c r="O5435" s="12" t="n">
        <v>1</v>
      </c>
      <c r="P5435" s="12" t="n">
        <v>480</v>
      </c>
      <c r="Q5435" s="12" t="n">
        <v>7.5</v>
      </c>
      <c r="R5435" s="12" t="n">
        <v>10.6</v>
      </c>
      <c r="S5435" s="12" t="inlineStr">
        <is>
          <t>Tray</t>
        </is>
      </c>
      <c r="T5435" s="15" t="n">
        <v>5</v>
      </c>
      <c r="U5435" s="15" t="n">
        <v>49</v>
      </c>
      <c r="V5435" s="15">
        <f>ROUNDUP((T5435+U5435+2*'Read Me'!$B$13)*(1+'Read Me'!$B$12),-1)</f>
        <v/>
      </c>
      <c r="W5435" s="15">
        <f>V5435*N5435*O5435</f>
        <v/>
      </c>
      <c r="X5435" s="12">
        <f>IF(LEFT(I5435,2)="MV",2*N5435*IF(L5435="1/C",O5435,1),0)</f>
        <v/>
      </c>
      <c r="Y5435" s="12">
        <f>IF(OR(LEFT(K5435,4)="LVAX",LEFT(K5435,6)="MV15AX",LEFT(K5435,4)="CTAX",LEFT(K5435,2)="W|"),2*N5435*O5435,0)</f>
        <v/>
      </c>
      <c r="Z5435" s="12" t="inlineStr">
        <is>
          <t>VD 0.3 %</t>
        </is>
      </c>
      <c r="AA5435" s="12">
        <f>N5435*O5435</f>
        <v/>
      </c>
    </row>
    <row r="5436">
      <c r="A5436" s="12" t="inlineStr">
        <is>
          <t>I-P-0257</t>
        </is>
      </c>
      <c r="B5436" s="12" t="inlineStr">
        <is>
          <t>I</t>
        </is>
      </c>
      <c r="C5436" s="12" t="inlineStr">
        <is>
          <t>Modular / portable power</t>
        </is>
      </c>
      <c r="D5436" s="12" t="inlineStr">
        <is>
          <t>Motor 1 of 4, 15 kW</t>
        </is>
      </c>
      <c r="E5436" s="12" t="inlineStr"/>
      <c r="F5436" s="12" t="inlineStr">
        <is>
          <t>SC-1 PCM + 15 kV GCB</t>
        </is>
      </c>
      <c r="G5436" s="12" t="inlineStr"/>
      <c r="H5436" s="12" t="inlineStr">
        <is>
          <t>SC-1 lube-oil fin-fan cooler</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15</v>
      </c>
      <c r="R5436" s="12" t="n">
        <v>21.2</v>
      </c>
      <c r="S5436" s="12" t="inlineStr">
        <is>
          <t>Riser</t>
        </is>
      </c>
      <c r="T5436" s="15" t="n">
        <v>9</v>
      </c>
      <c r="U5436" s="15" t="n">
        <v>33</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I-P-0258</t>
        </is>
      </c>
      <c r="B5437" s="12" t="inlineStr">
        <is>
          <t>I</t>
        </is>
      </c>
      <c r="C5437" s="12" t="inlineStr">
        <is>
          <t>Modular / portable power</t>
        </is>
      </c>
      <c r="D5437" s="12" t="inlineStr">
        <is>
          <t>Motor 2 of 4, 15 kW</t>
        </is>
      </c>
      <c r="E5437" s="12" t="inlineStr"/>
      <c r="F5437" s="12" t="inlineStr">
        <is>
          <t>SC-1 PCM + 15 kV GCB</t>
        </is>
      </c>
      <c r="G5437" s="12" t="inlineStr"/>
      <c r="H5437" s="12" t="inlineStr">
        <is>
          <t>SC-1 lube-oil fin-fan cooler</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15</v>
      </c>
      <c r="R5437" s="12" t="n">
        <v>21.2</v>
      </c>
      <c r="S5437" s="12" t="inlineStr">
        <is>
          <t>Riser</t>
        </is>
      </c>
      <c r="T5437" s="15" t="n">
        <v>9</v>
      </c>
      <c r="U5437" s="15" t="n">
        <v>33</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I-P-0259</t>
        </is>
      </c>
      <c r="B5438" s="12" t="inlineStr">
        <is>
          <t>I</t>
        </is>
      </c>
      <c r="C5438" s="12" t="inlineStr">
        <is>
          <t>Modular / portable power</t>
        </is>
      </c>
      <c r="D5438" s="12" t="inlineStr">
        <is>
          <t>Motor 3 of 4, 15 kW</t>
        </is>
      </c>
      <c r="E5438" s="12" t="inlineStr"/>
      <c r="F5438" s="12" t="inlineStr">
        <is>
          <t>SC-1 PCM + 15 kV GCB</t>
        </is>
      </c>
      <c r="G5438" s="12" t="inlineStr"/>
      <c r="H5438" s="12" t="inlineStr">
        <is>
          <t>SC-1 lube-oil fin-fan cooler</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15</v>
      </c>
      <c r="R5438" s="12" t="n">
        <v>21.2</v>
      </c>
      <c r="S5438" s="12" t="inlineStr">
        <is>
          <t>Riser</t>
        </is>
      </c>
      <c r="T5438" s="15" t="n">
        <v>9</v>
      </c>
      <c r="U5438" s="15" t="n">
        <v>33</v>
      </c>
      <c r="V5438" s="15">
        <f>ROUNDUP((T5438+U5438+2*'Read Me'!$B$13)*(1+'Read Me'!$B$12),-1)</f>
        <v/>
      </c>
      <c r="W5438" s="15">
        <f>V5438*N5438*O5438</f>
        <v/>
      </c>
      <c r="X5438" s="12">
        <f>IF(LEFT(I5438,2)="MV",2*N5438*IF(L5438="1/C",O5438,1),0)</f>
        <v/>
      </c>
      <c r="Y5438" s="12">
        <f>IF(OR(LEFT(K5438,4)="LVAX",LEFT(K5438,6)="MV15AX",LEFT(K5438,4)="CTAX",LEFT(K5438,2)="W|"),2*N5438*O5438,0)</f>
        <v/>
      </c>
      <c r="Z5438" s="12" t="inlineStr">
        <is>
          <t>VD 0.4 %</t>
        </is>
      </c>
      <c r="AA5438" s="12">
        <f>N5438*O5438</f>
        <v/>
      </c>
    </row>
    <row r="5439">
      <c r="A5439" s="12" t="inlineStr">
        <is>
          <t>I-P-0260</t>
        </is>
      </c>
      <c r="B5439" s="12" t="inlineStr">
        <is>
          <t>I</t>
        </is>
      </c>
      <c r="C5439" s="12" t="inlineStr">
        <is>
          <t>Modular / portable power</t>
        </is>
      </c>
      <c r="D5439" s="12" t="inlineStr">
        <is>
          <t>Motor 4 of 4, 15 kW</t>
        </is>
      </c>
      <c r="E5439" s="12" t="inlineStr"/>
      <c r="F5439" s="12" t="inlineStr">
        <is>
          <t>SC-1 PCM + 15 kV GCB</t>
        </is>
      </c>
      <c r="G5439" s="12" t="inlineStr"/>
      <c r="H5439" s="12" t="inlineStr">
        <is>
          <t>SC-1 lube-oil fin-fan cooler</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15</v>
      </c>
      <c r="R5439" s="12" t="n">
        <v>21.2</v>
      </c>
      <c r="S5439" s="12" t="inlineStr">
        <is>
          <t>Riser</t>
        </is>
      </c>
      <c r="T5439" s="15" t="n">
        <v>9</v>
      </c>
      <c r="U5439" s="15" t="n">
        <v>33</v>
      </c>
      <c r="V5439" s="15">
        <f>ROUNDUP((T5439+U5439+2*'Read Me'!$B$13)*(1+'Read Me'!$B$12),-1)</f>
        <v/>
      </c>
      <c r="W5439" s="15">
        <f>V5439*N5439*O5439</f>
        <v/>
      </c>
      <c r="X5439" s="12">
        <f>IF(LEFT(I5439,2)="MV",2*N5439*IF(L5439="1/C",O5439,1),0)</f>
        <v/>
      </c>
      <c r="Y5439" s="12">
        <f>IF(OR(LEFT(K5439,4)="LVAX",LEFT(K5439,6)="MV15AX",LEFT(K5439,4)="CTAX",LEFT(K5439,2)="W|"),2*N5439*O5439,0)</f>
        <v/>
      </c>
      <c r="Z5439" s="12" t="inlineStr">
        <is>
          <t>VD 0.4 %</t>
        </is>
      </c>
      <c r="AA5439" s="12">
        <f>N5439*O5439</f>
        <v/>
      </c>
    </row>
    <row r="5440">
      <c r="A5440" s="12" t="inlineStr">
        <is>
          <t>I-P-0261</t>
        </is>
      </c>
      <c r="B5440" s="12" t="inlineStr">
        <is>
          <t>I</t>
        </is>
      </c>
      <c r="C5440" s="12" t="inlineStr">
        <is>
          <t>Modular / portable power</t>
        </is>
      </c>
      <c r="D5440" s="12" t="inlineStr">
        <is>
          <t>Area / platform lighting circuit 1 (4 fixtures)</t>
        </is>
      </c>
      <c r="E5440" s="12" t="inlineStr"/>
      <c r="F5440" s="12" t="inlineStr">
        <is>
          <t>SC-1 PCM + 15 kV GCB</t>
        </is>
      </c>
      <c r="G5440" s="12" t="inlineStr"/>
      <c r="H5440" s="12" t="inlineStr">
        <is>
          <t>SC-1 stack (80 ft)</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3</v>
      </c>
      <c r="R5440" s="12" t="n">
        <v>5</v>
      </c>
      <c r="S5440" s="12" t="inlineStr">
        <is>
          <t>Duct bank</t>
        </is>
      </c>
      <c r="T5440" s="15" t="n">
        <v>381</v>
      </c>
      <c r="U5440" s="15" t="n">
        <v>86</v>
      </c>
      <c r="V5440" s="15">
        <f>ROUNDUP((T5440+U5440+2*'Read Me'!$B$13)*(1+'Read Me'!$B$12),-1)</f>
        <v/>
      </c>
      <c r="W5440" s="15">
        <f>V5440*N5440*O5440</f>
        <v/>
      </c>
      <c r="X5440" s="12">
        <f>IF(LEFT(I5440,2)="MV",2*N5440*IF(L5440="1/C",O5440,1),0)</f>
        <v/>
      </c>
      <c r="Y5440" s="12">
        <f>IF(OR(LEFT(K5440,4)="LVAX",LEFT(K5440,6)="MV15AX",LEFT(K5440,4)="CTAX",LEFT(K5440,2)="W|"),2*N5440*O5440,0)</f>
        <v/>
      </c>
      <c r="Z5440" s="12" t="inlineStr">
        <is>
          <t>fixture-to-fixture run included</t>
        </is>
      </c>
      <c r="AA5440" s="12">
        <f>N5440*O5440</f>
        <v/>
      </c>
    </row>
    <row r="5441">
      <c r="A5441" s="12" t="inlineStr">
        <is>
          <t>I-P-0262</t>
        </is>
      </c>
      <c r="B5441" s="12" t="inlineStr">
        <is>
          <t>I</t>
        </is>
      </c>
      <c r="C5441" s="12" t="inlineStr">
        <is>
          <t>Modular / portable power</t>
        </is>
      </c>
      <c r="D5441" s="12" t="inlineStr">
        <is>
          <t>Motor 1 of 2, 185 kW</t>
        </is>
      </c>
      <c r="E5441" s="12" t="inlineStr"/>
      <c r="F5441" s="12" t="inlineStr">
        <is>
          <t>SC-1 PCM + 15 kV GCB</t>
        </is>
      </c>
      <c r="G5441" s="12" t="inlineStr"/>
      <c r="H5441" s="12" t="inlineStr">
        <is>
          <t>SC-1 tempering-air fans (2 x 100 %)</t>
        </is>
      </c>
      <c r="I5441" s="12" t="inlineStr">
        <is>
          <t>LV 600 V</t>
        </is>
      </c>
      <c r="J5441" s="12" t="inlineStr">
        <is>
          <t>Type TC-ER 600 V 3/C Cu XHHW-2 + ground, PVC jacket</t>
        </is>
      </c>
      <c r="K5441" s="12" t="inlineStr">
        <is>
          <t>LV|3/C+G|500</t>
        </is>
      </c>
      <c r="L5441" s="12" t="inlineStr">
        <is>
          <t>3/C+G</t>
        </is>
      </c>
      <c r="M5441" s="12" t="inlineStr">
        <is>
          <t>500 kcmil</t>
        </is>
      </c>
      <c r="N5441" s="12" t="n">
        <v>1</v>
      </c>
      <c r="O5441" s="12" t="n">
        <v>1</v>
      </c>
      <c r="P5441" s="12" t="n">
        <v>480</v>
      </c>
      <c r="Q5441" s="12" t="n">
        <v>185</v>
      </c>
      <c r="R5441" s="12" t="n">
        <v>261.8</v>
      </c>
      <c r="S5441" s="12" t="inlineStr">
        <is>
          <t>Duct bank</t>
        </is>
      </c>
      <c r="T5441" s="15" t="n">
        <v>15</v>
      </c>
      <c r="U5441" s="15" t="n">
        <v>99</v>
      </c>
      <c r="V5441" s="15">
        <f>ROUNDUP((T5441+U5441+2*'Read Me'!$B$13)*(1+'Read Me'!$B$12),-1)</f>
        <v/>
      </c>
      <c r="W5441" s="15">
        <f>V5441*N5441*O5441</f>
        <v/>
      </c>
      <c r="X5441" s="12">
        <f>IF(LEFT(I5441,2)="MV",2*N5441*IF(L5441="1/C",O5441,1),0)</f>
        <v/>
      </c>
      <c r="Y5441" s="12">
        <f>IF(OR(LEFT(K5441,4)="LVAX",LEFT(K5441,6)="MV15AX",LEFT(K5441,4)="CTAX",LEFT(K5441,2)="W|"),2*N5441*O5441,0)</f>
        <v/>
      </c>
      <c r="Z5441" s="12" t="inlineStr">
        <is>
          <t>VD 0.3 %</t>
        </is>
      </c>
      <c r="AA5441" s="12">
        <f>N5441*O5441</f>
        <v/>
      </c>
    </row>
    <row r="5442">
      <c r="A5442" s="12" t="inlineStr">
        <is>
          <t>I-P-0263</t>
        </is>
      </c>
      <c r="B5442" s="12" t="inlineStr">
        <is>
          <t>I</t>
        </is>
      </c>
      <c r="C5442" s="12" t="inlineStr">
        <is>
          <t>Modular / portable power</t>
        </is>
      </c>
      <c r="D5442" s="12" t="inlineStr">
        <is>
          <t>Motor 2 of 2, 185 kW</t>
        </is>
      </c>
      <c r="E5442" s="12" t="inlineStr"/>
      <c r="F5442" s="12" t="inlineStr">
        <is>
          <t>SC-1 PCM + 15 kV GCB</t>
        </is>
      </c>
      <c r="G5442" s="12" t="inlineStr"/>
      <c r="H5442" s="12" t="inlineStr">
        <is>
          <t>SC-1 tempering-air fans (2 x 100 %)</t>
        </is>
      </c>
      <c r="I5442" s="12" t="inlineStr">
        <is>
          <t>LV 600 V</t>
        </is>
      </c>
      <c r="J5442" s="12" t="inlineStr">
        <is>
          <t>Type TC-ER 600 V 3/C Cu XHHW-2 + ground, PVC jacket</t>
        </is>
      </c>
      <c r="K5442" s="12" t="inlineStr">
        <is>
          <t>LV|3/C+G|500</t>
        </is>
      </c>
      <c r="L5442" s="12" t="inlineStr">
        <is>
          <t>3/C+G</t>
        </is>
      </c>
      <c r="M5442" s="12" t="inlineStr">
        <is>
          <t>500 kcmil</t>
        </is>
      </c>
      <c r="N5442" s="12" t="n">
        <v>1</v>
      </c>
      <c r="O5442" s="12" t="n">
        <v>1</v>
      </c>
      <c r="P5442" s="12" t="n">
        <v>480</v>
      </c>
      <c r="Q5442" s="12" t="n">
        <v>185</v>
      </c>
      <c r="R5442" s="12" t="n">
        <v>261.8</v>
      </c>
      <c r="S5442" s="12" t="inlineStr">
        <is>
          <t>Duct bank</t>
        </is>
      </c>
      <c r="T5442" s="15" t="n">
        <v>15</v>
      </c>
      <c r="U5442" s="15" t="n">
        <v>99</v>
      </c>
      <c r="V5442" s="15">
        <f>ROUNDUP((T5442+U5442+2*'Read Me'!$B$13)*(1+'Read Me'!$B$12),-1)</f>
        <v/>
      </c>
      <c r="W5442" s="15">
        <f>V5442*N5442*O5442</f>
        <v/>
      </c>
      <c r="X5442" s="12">
        <f>IF(LEFT(I5442,2)="MV",2*N5442*IF(L5442="1/C",O5442,1),0)</f>
        <v/>
      </c>
      <c r="Y5442" s="12">
        <f>IF(OR(LEFT(K5442,4)="LVAX",LEFT(K5442,6)="MV15AX",LEFT(K5442,4)="CTAX",LEFT(K5442,2)="W|"),2*N5442*O5442,0)</f>
        <v/>
      </c>
      <c r="Z5442" s="12" t="inlineStr">
        <is>
          <t>VD 0.3 %</t>
        </is>
      </c>
      <c r="AA5442" s="12">
        <f>N5442*O5442</f>
        <v/>
      </c>
    </row>
    <row r="5443">
      <c r="A5443" s="12" t="inlineStr">
        <is>
          <t>I-P-0264</t>
        </is>
      </c>
      <c r="B5443" s="12" t="inlineStr">
        <is>
          <t>I</t>
        </is>
      </c>
      <c r="C5443" s="12" t="inlineStr">
        <is>
          <t>Modular / portable power</t>
        </is>
      </c>
      <c r="D5443" s="12" t="inlineStr">
        <is>
          <t>Area / platform lighting circuit 1 (4 fixtures)</t>
        </is>
      </c>
      <c r="E5443" s="12" t="inlineStr"/>
      <c r="F5443" s="12" t="inlineStr">
        <is>
          <t>SC-1 PCM + 15 kV GCB</t>
        </is>
      </c>
      <c r="G5443" s="12" t="inlineStr"/>
      <c r="H5443" s="12" t="inlineStr">
        <is>
          <t>SC-1 tempering-air fans (2 x 100 %)</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3</v>
      </c>
      <c r="R5443" s="12" t="n">
        <v>5</v>
      </c>
      <c r="S5443" s="12" t="inlineStr">
        <is>
          <t>Duct bank</t>
        </is>
      </c>
      <c r="T5443" s="15" t="n">
        <v>315</v>
      </c>
      <c r="U5443" s="15" t="n">
        <v>99</v>
      </c>
      <c r="V5443" s="15">
        <f>ROUNDUP((T5443+U5443+2*'Read Me'!$B$13)*(1+'Read Me'!$B$12),-1)</f>
        <v/>
      </c>
      <c r="W5443" s="15">
        <f>V5443*N5443*O5443</f>
        <v/>
      </c>
      <c r="X5443" s="12">
        <f>IF(LEFT(I5443,2)="MV",2*N5443*IF(L5443="1/C",O5443,1),0)</f>
        <v/>
      </c>
      <c r="Y5443" s="12">
        <f>IF(OR(LEFT(K5443,4)="LVAX",LEFT(K5443,6)="MV15AX",LEFT(K5443,4)="CTAX",LEFT(K5443,2)="W|"),2*N5443*O5443,0)</f>
        <v/>
      </c>
      <c r="Z5443" s="12" t="inlineStr">
        <is>
          <t>fixture-to-fixture run included</t>
        </is>
      </c>
      <c r="AA5443" s="12">
        <f>N5443*O5443</f>
        <v/>
      </c>
    </row>
    <row r="5444">
      <c r="A5444" s="12" t="inlineStr">
        <is>
          <t>I-P-0265</t>
        </is>
      </c>
      <c r="B5444" s="12" t="inlineStr">
        <is>
          <t>I</t>
        </is>
      </c>
      <c r="C5444" s="12" t="inlineStr">
        <is>
          <t>Modular / portable power</t>
        </is>
      </c>
      <c r="D5444" s="12" t="inlineStr">
        <is>
          <t>SC-1 emergency DC lube-oil pump (125 V DC, coast-down)</t>
        </is>
      </c>
      <c r="E5444" s="12" t="inlineStr"/>
      <c r="F5444" s="12" t="inlineStr">
        <is>
          <t>SC-1 PCM + 15 kV GCB</t>
        </is>
      </c>
      <c r="G5444" s="12" t="inlineStr">
        <is>
          <t>SC-1</t>
        </is>
      </c>
      <c r="H5444" s="12" t="inlineStr">
        <is>
          <t>SC-1: aeroderivative simple-cycle unit (50 MW class)</t>
        </is>
      </c>
      <c r="I5444" s="12" t="inlineStr">
        <is>
          <t>LV 600 V</t>
        </is>
      </c>
      <c r="J5444" s="12" t="inlineStr">
        <is>
          <t>XHHW-2 600 V 1/C Cu (feeder sets in tray / duct)</t>
        </is>
      </c>
      <c r="K5444" s="12" t="inlineStr">
        <is>
          <t>LV1C|1/C|2</t>
        </is>
      </c>
      <c r="L5444" s="12" t="inlineStr">
        <is>
          <t>1/C</t>
        </is>
      </c>
      <c r="M5444" s="12" t="inlineStr">
        <is>
          <t>2</t>
        </is>
      </c>
      <c r="N5444" s="12" t="n">
        <v>1</v>
      </c>
      <c r="O5444" s="12" t="n">
        <v>2</v>
      </c>
      <c r="P5444" s="12" t="n">
        <v>125</v>
      </c>
      <c r="Q5444" s="12" t="n">
        <v>7.5</v>
      </c>
      <c r="R5444" s="12" t="n">
        <v>65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Aeroderivative: DC pump keeps the bearings fed on loss of AC</t>
        </is>
      </c>
      <c r="AA5444" s="12">
        <f>N5444*O5444</f>
        <v/>
      </c>
    </row>
    <row r="5445">
      <c r="A5445" s="12" t="inlineStr">
        <is>
          <t>I-P-0266</t>
        </is>
      </c>
      <c r="B5445" s="12" t="inlineStr">
        <is>
          <t>I</t>
        </is>
      </c>
      <c r="C5445" s="12" t="inlineStr">
        <is>
          <t>Modular / portable power</t>
        </is>
      </c>
      <c r="D5445" s="12" t="inlineStr">
        <is>
          <t>SC-1 120 V AC UPS to the unit control and protection</t>
        </is>
      </c>
      <c r="E5445" s="12" t="inlineStr"/>
      <c r="F5445" s="12" t="inlineStr">
        <is>
          <t>SC-1 PCM + 15 kV GCB</t>
        </is>
      </c>
      <c r="G5445" s="12" t="inlineStr">
        <is>
          <t>SC-1</t>
        </is>
      </c>
      <c r="H5445" s="12" t="inlineStr">
        <is>
          <t>SC-1: aeroderivative simple-cycle unit (50 MW class)</t>
        </is>
      </c>
      <c r="I5445" s="12" t="inlineStr">
        <is>
          <t>LV 600 V</t>
        </is>
      </c>
      <c r="J5445" s="12" t="inlineStr">
        <is>
          <t>XHHW-2 600 V 1/C Cu (feeder sets in tray / duct)</t>
        </is>
      </c>
      <c r="K5445" s="12" t="inlineStr">
        <is>
          <t>LV1C|1/C|6</t>
        </is>
      </c>
      <c r="L5445" s="12" t="inlineStr">
        <is>
          <t>1/C</t>
        </is>
      </c>
      <c r="M5445" s="12" t="inlineStr">
        <is>
          <t>6</t>
        </is>
      </c>
      <c r="N5445" s="12" t="n">
        <v>1</v>
      </c>
      <c r="O5445" s="12" t="n">
        <v>2</v>
      </c>
      <c r="P5445" s="12" t="n">
        <v>120</v>
      </c>
      <c r="Q5445" s="12" t="n">
        <v>5</v>
      </c>
      <c r="R5445" s="12" t="n"/>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c r="AA5445" s="12">
        <f>N5445*O5445</f>
        <v/>
      </c>
    </row>
    <row r="5446">
      <c r="A5446" s="12" t="inlineStr">
        <is>
          <t>I-P-0267</t>
        </is>
      </c>
      <c r="B5446" s="12" t="inlineStr">
        <is>
          <t>I</t>
        </is>
      </c>
      <c r="C5446" s="12" t="inlineStr">
        <is>
          <t>Modular / portable power</t>
        </is>
      </c>
      <c r="D5446" s="12" t="inlineStr">
        <is>
          <t>SC-1 hydraulic starter pump motor (start sequence only)</t>
        </is>
      </c>
      <c r="E5446" s="12" t="inlineStr"/>
      <c r="F5446" s="12" t="inlineStr">
        <is>
          <t>SC-1 PCM + 15 kV GCB</t>
        </is>
      </c>
      <c r="G5446" s="12" t="inlineStr">
        <is>
          <t>SC-1</t>
        </is>
      </c>
      <c r="H5446" s="12" t="inlineStr">
        <is>
          <t>SC-1: aeroderivative simple-cycle unit (50 MW class)</t>
        </is>
      </c>
      <c r="I5446" s="12" t="inlineStr">
        <is>
          <t>LV 600 V</t>
        </is>
      </c>
      <c r="J5446" s="12" t="inlineStr">
        <is>
          <t>Type TC-ER 600 V 3/C Cu XHHW-2 + ground, PVC jacket</t>
        </is>
      </c>
      <c r="K5446" s="12" t="inlineStr">
        <is>
          <t>LV|3/C+G|3/0</t>
        </is>
      </c>
      <c r="L5446" s="12" t="inlineStr">
        <is>
          <t>3/C+G</t>
        </is>
      </c>
      <c r="M5446" s="12" t="inlineStr">
        <is>
          <t>3/0</t>
        </is>
      </c>
      <c r="N5446" s="12" t="n">
        <v>2</v>
      </c>
      <c r="O5446" s="12" t="n">
        <v>1</v>
      </c>
      <c r="P5446" s="12" t="n">
        <v>480</v>
      </c>
      <c r="Q5446" s="12" t="n">
        <v>225</v>
      </c>
      <c r="R5446" s="12" t="n">
        <v>318.4</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typical aeroderivative hydraulic start; verify starter type / rating with the OEM</t>
        </is>
      </c>
      <c r="AA5446" s="12">
        <f>N5446*O5446</f>
        <v/>
      </c>
    </row>
    <row r="5447">
      <c r="A5447" s="12" t="inlineStr">
        <is>
          <t>I-P-0268</t>
        </is>
      </c>
      <c r="B5447" s="12" t="inlineStr">
        <is>
          <t>I</t>
        </is>
      </c>
      <c r="C5447" s="12" t="inlineStr">
        <is>
          <t>Modular / portable power</t>
        </is>
      </c>
      <c r="D5447" s="12" t="inlineStr">
        <is>
          <t>SC-1 480 V welding receptacle 1</t>
        </is>
      </c>
      <c r="E5447" s="12" t="inlineStr"/>
      <c r="F5447" s="12" t="inlineStr">
        <is>
          <t>SC-1 PCM + 15 kV GCB</t>
        </is>
      </c>
      <c r="G5447" s="12" t="inlineStr">
        <is>
          <t>SC-1</t>
        </is>
      </c>
      <c r="H5447" s="12" t="inlineStr">
        <is>
          <t>SC-1: aeroderivative simple-cycle unit (50 MW class)</t>
        </is>
      </c>
      <c r="I5447" s="12" t="inlineStr">
        <is>
          <t>LV 600 V</t>
        </is>
      </c>
      <c r="J5447" s="12" t="inlineStr">
        <is>
          <t>Type TC-ER 600 V 3/C Cu XHHW-2 + ground, PVC jacket</t>
        </is>
      </c>
      <c r="K5447" s="12" t="inlineStr">
        <is>
          <t>LV|3/C+G|2</t>
        </is>
      </c>
      <c r="L5447" s="12" t="inlineStr">
        <is>
          <t>3/C+G</t>
        </is>
      </c>
      <c r="M5447" s="12" t="inlineStr">
        <is>
          <t>2</t>
        </is>
      </c>
      <c r="N5447" s="12" t="n">
        <v>1</v>
      </c>
      <c r="O5447" s="12" t="n">
        <v>1</v>
      </c>
      <c r="P5447" s="12" t="n">
        <v>480</v>
      </c>
      <c r="Q5447" s="12" t="n">
        <v>60</v>
      </c>
      <c r="R5447" s="12" t="n">
        <v>76</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0.4 %</t>
        </is>
      </c>
      <c r="AA5447" s="12">
        <f>N5447*O5447</f>
        <v/>
      </c>
    </row>
    <row r="5448">
      <c r="A5448" s="12" t="inlineStr">
        <is>
          <t>I-P-0269</t>
        </is>
      </c>
      <c r="B5448" s="12" t="inlineStr">
        <is>
          <t>I</t>
        </is>
      </c>
      <c r="C5448" s="12" t="inlineStr">
        <is>
          <t>Modular / portable power</t>
        </is>
      </c>
      <c r="D5448" s="12" t="inlineStr">
        <is>
          <t>SC-1 480 V welding receptacle 2</t>
        </is>
      </c>
      <c r="E5448" s="12" t="inlineStr"/>
      <c r="F5448" s="12" t="inlineStr">
        <is>
          <t>SC-1 PCM + 15 kV GCB</t>
        </is>
      </c>
      <c r="G5448" s="12" t="inlineStr">
        <is>
          <t>SC-1</t>
        </is>
      </c>
      <c r="H5448" s="12" t="inlineStr">
        <is>
          <t>SC-1: aeroderivative simple-cycle unit (50 MW class)</t>
        </is>
      </c>
      <c r="I5448" s="12" t="inlineStr">
        <is>
          <t>LV 600 V</t>
        </is>
      </c>
      <c r="J5448" s="12" t="inlineStr">
        <is>
          <t>Type TC-ER 600 V 3/C Cu XHHW-2 + ground, PVC jacket</t>
        </is>
      </c>
      <c r="K5448" s="12" t="inlineStr">
        <is>
          <t>LV|3/C+G|2</t>
        </is>
      </c>
      <c r="L5448" s="12" t="inlineStr">
        <is>
          <t>3/C+G</t>
        </is>
      </c>
      <c r="M5448" s="12" t="inlineStr">
        <is>
          <t>2</t>
        </is>
      </c>
      <c r="N5448" s="12" t="n">
        <v>1</v>
      </c>
      <c r="O5448" s="12" t="n">
        <v>1</v>
      </c>
      <c r="P5448" s="12" t="n">
        <v>480</v>
      </c>
      <c r="Q5448" s="12" t="n">
        <v>60</v>
      </c>
      <c r="R5448" s="12" t="n">
        <v>76</v>
      </c>
      <c r="S5448" s="12" t="inlineStr">
        <is>
          <t>Tray</t>
        </is>
      </c>
      <c r="T5448" s="15" t="n">
        <v>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0.4 %</t>
        </is>
      </c>
      <c r="AA5448" s="12">
        <f>N5448*O5448</f>
        <v/>
      </c>
    </row>
    <row r="5449">
      <c r="A5449" s="12" t="inlineStr">
        <is>
          <t>I-P-0270</t>
        </is>
      </c>
      <c r="B5449" s="12" t="inlineStr">
        <is>
          <t>I</t>
        </is>
      </c>
      <c r="C5449" s="12" t="inlineStr">
        <is>
          <t>Modular / portable power</t>
        </is>
      </c>
      <c r="D5449" s="12" t="inlineStr">
        <is>
          <t>Motor 1 of 10, 30 kW</t>
        </is>
      </c>
      <c r="E5449" s="12" t="inlineStr"/>
      <c r="F5449" s="12" t="inlineStr">
        <is>
          <t>SC-1 PCM + 15 kV GCB</t>
        </is>
      </c>
      <c r="G5449" s="12" t="inlineStr">
        <is>
          <t>SC-1</t>
        </is>
      </c>
      <c r="H5449" s="12" t="inlineStr">
        <is>
          <t>SC-1: aeroderivative simple-cycle unit (50 MW class)</t>
        </is>
      </c>
      <c r="I5449" s="12" t="inlineStr">
        <is>
          <t>LV 600 V</t>
        </is>
      </c>
      <c r="J5449" s="12" t="inlineStr">
        <is>
          <t>Type TC-ER 600 V 3/C Cu XHHW-2 + ground, PVC jacket</t>
        </is>
      </c>
      <c r="K5449" s="12" t="inlineStr">
        <is>
          <t>LV|3/C+G|6</t>
        </is>
      </c>
      <c r="L5449" s="12" t="inlineStr">
        <is>
          <t>3/C+G</t>
        </is>
      </c>
      <c r="M5449" s="12" t="inlineStr">
        <is>
          <t>6</t>
        </is>
      </c>
      <c r="N5449" s="12" t="n">
        <v>1</v>
      </c>
      <c r="O5449" s="12" t="n">
        <v>1</v>
      </c>
      <c r="P5449" s="12" t="n">
        <v>480</v>
      </c>
      <c r="Q5449" s="12" t="n">
        <v>30</v>
      </c>
      <c r="R5449" s="12" t="n">
        <v>42.5</v>
      </c>
      <c r="S5449" s="12" t="inlineStr">
        <is>
          <t>Tray</t>
        </is>
      </c>
      <c r="T5449" s="15" t="n">
        <v>5</v>
      </c>
      <c r="U5449" s="15" t="n">
        <v>62</v>
      </c>
      <c r="V5449" s="15">
        <f>ROUNDUP((T5449+U5449+2*'Read Me'!$B$13)*(1+'Read Me'!$B$12),-1)</f>
        <v/>
      </c>
      <c r="W5449" s="15">
        <f>V5449*N5449*O5449</f>
        <v/>
      </c>
      <c r="X5449" s="12">
        <f>IF(LEFT(I5449,2)="MV",2*N5449*IF(L5449="1/C",O5449,1),0)</f>
        <v/>
      </c>
      <c r="Y5449" s="12">
        <f>IF(OR(LEFT(K5449,4)="LVAX",LEFT(K5449,6)="MV15AX",LEFT(K5449,4)="CTAX",LEFT(K5449,2)="W|"),2*N5449*O5449,0)</f>
        <v/>
      </c>
      <c r="Z5449" s="12" t="inlineStr">
        <is>
          <t>VD 0.6 %</t>
        </is>
      </c>
      <c r="AA5449" s="12">
        <f>N5449*O5449</f>
        <v/>
      </c>
    </row>
    <row r="5450">
      <c r="A5450" s="12" t="inlineStr">
        <is>
          <t>I-P-0271</t>
        </is>
      </c>
      <c r="B5450" s="12" t="inlineStr">
        <is>
          <t>I</t>
        </is>
      </c>
      <c r="C5450" s="12" t="inlineStr">
        <is>
          <t>Modular / portable power</t>
        </is>
      </c>
      <c r="D5450" s="12" t="inlineStr">
        <is>
          <t>Motor 2 of 10, 30 kW</t>
        </is>
      </c>
      <c r="E5450" s="12" t="inlineStr"/>
      <c r="F5450" s="12" t="inlineStr">
        <is>
          <t>SC-1 PCM + 15 kV GCB</t>
        </is>
      </c>
      <c r="G5450" s="12" t="inlineStr">
        <is>
          <t>SC-1</t>
        </is>
      </c>
      <c r="H5450" s="12" t="inlineStr">
        <is>
          <t>SC-1: aeroderivative simple-cycle unit (50 MW class)</t>
        </is>
      </c>
      <c r="I5450" s="12" t="inlineStr">
        <is>
          <t>LV 600 V</t>
        </is>
      </c>
      <c r="J5450" s="12" t="inlineStr">
        <is>
          <t>Type TC-ER 600 V 3/C Cu XHHW-2 + ground, PVC jacket</t>
        </is>
      </c>
      <c r="K5450" s="12" t="inlineStr">
        <is>
          <t>LV|3/C+G|6</t>
        </is>
      </c>
      <c r="L5450" s="12" t="inlineStr">
        <is>
          <t>3/C+G</t>
        </is>
      </c>
      <c r="M5450" s="12" t="inlineStr">
        <is>
          <t>6</t>
        </is>
      </c>
      <c r="N5450" s="12" t="n">
        <v>1</v>
      </c>
      <c r="O5450" s="12" t="n">
        <v>1</v>
      </c>
      <c r="P5450" s="12" t="n">
        <v>480</v>
      </c>
      <c r="Q5450" s="12" t="n">
        <v>30</v>
      </c>
      <c r="R5450" s="12" t="n">
        <v>42.5</v>
      </c>
      <c r="S5450" s="12" t="inlineStr">
        <is>
          <t>Tray</t>
        </is>
      </c>
      <c r="T5450" s="15" t="n">
        <v>5</v>
      </c>
      <c r="U5450" s="15" t="n">
        <v>62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I-P-0272</t>
        </is>
      </c>
      <c r="B5451" s="12" t="inlineStr">
        <is>
          <t>I</t>
        </is>
      </c>
      <c r="C5451" s="12" t="inlineStr">
        <is>
          <t>Modular / portable power</t>
        </is>
      </c>
      <c r="D5451" s="12" t="inlineStr">
        <is>
          <t>Motor 3 of 10, 30 kW</t>
        </is>
      </c>
      <c r="E5451" s="12" t="inlineStr"/>
      <c r="F5451" s="12" t="inlineStr">
        <is>
          <t>SC-1 PCM + 15 kV GCB</t>
        </is>
      </c>
      <c r="G5451" s="12" t="inlineStr">
        <is>
          <t>SC-1</t>
        </is>
      </c>
      <c r="H5451" s="12" t="inlineStr">
        <is>
          <t>SC-1: aeroderivative simple-cycle unit (50 MW class)</t>
        </is>
      </c>
      <c r="I5451" s="12" t="inlineStr">
        <is>
          <t>LV 600 V</t>
        </is>
      </c>
      <c r="J5451" s="12" t="inlineStr">
        <is>
          <t>Type TC-ER 600 V 3/C Cu XHHW-2 + ground, PVC jacket</t>
        </is>
      </c>
      <c r="K5451" s="12" t="inlineStr">
        <is>
          <t>LV|3/C+G|6</t>
        </is>
      </c>
      <c r="L5451" s="12" t="inlineStr">
        <is>
          <t>3/C+G</t>
        </is>
      </c>
      <c r="M5451" s="12" t="inlineStr">
        <is>
          <t>6</t>
        </is>
      </c>
      <c r="N5451" s="12" t="n">
        <v>1</v>
      </c>
      <c r="O5451" s="12" t="n">
        <v>1</v>
      </c>
      <c r="P5451" s="12" t="n">
        <v>480</v>
      </c>
      <c r="Q5451" s="12" t="n">
        <v>30</v>
      </c>
      <c r="R5451" s="12" t="n">
        <v>42.5</v>
      </c>
      <c r="S5451" s="12" t="inlineStr">
        <is>
          <t>Tray</t>
        </is>
      </c>
      <c r="T5451" s="15" t="n">
        <v>5</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I-P-0273</t>
        </is>
      </c>
      <c r="B5452" s="12" t="inlineStr">
        <is>
          <t>I</t>
        </is>
      </c>
      <c r="C5452" s="12" t="inlineStr">
        <is>
          <t>Modular / portable power</t>
        </is>
      </c>
      <c r="D5452" s="12" t="inlineStr">
        <is>
          <t>Motor 4 of 10, 30 kW</t>
        </is>
      </c>
      <c r="E5452" s="12" t="inlineStr"/>
      <c r="F5452" s="12" t="inlineStr">
        <is>
          <t>SC-1 PCM + 15 kV GCB</t>
        </is>
      </c>
      <c r="G5452" s="12" t="inlineStr">
        <is>
          <t>SC-1</t>
        </is>
      </c>
      <c r="H5452" s="12" t="inlineStr">
        <is>
          <t>SC-1: aeroderivative simple-cycle unit (50 MW class)</t>
        </is>
      </c>
      <c r="I5452" s="12" t="inlineStr">
        <is>
          <t>LV 600 V</t>
        </is>
      </c>
      <c r="J5452" s="12" t="inlineStr">
        <is>
          <t>Type TC-ER 600 V 3/C Cu XHHW-2 + ground, PVC jacket</t>
        </is>
      </c>
      <c r="K5452" s="12" t="inlineStr">
        <is>
          <t>LV|3/C+G|6</t>
        </is>
      </c>
      <c r="L5452" s="12" t="inlineStr">
        <is>
          <t>3/C+G</t>
        </is>
      </c>
      <c r="M5452" s="12" t="inlineStr">
        <is>
          <t>6</t>
        </is>
      </c>
      <c r="N5452" s="12" t="n">
        <v>1</v>
      </c>
      <c r="O5452" s="12" t="n">
        <v>1</v>
      </c>
      <c r="P5452" s="12" t="n">
        <v>480</v>
      </c>
      <c r="Q5452" s="12" t="n">
        <v>30</v>
      </c>
      <c r="R5452" s="12" t="n">
        <v>42.5</v>
      </c>
      <c r="S5452" s="12" t="inlineStr">
        <is>
          <t>Tray</t>
        </is>
      </c>
      <c r="T5452" s="15" t="n">
        <v>5</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I-P-0274</t>
        </is>
      </c>
      <c r="B5453" s="12" t="inlineStr">
        <is>
          <t>I</t>
        </is>
      </c>
      <c r="C5453" s="12" t="inlineStr">
        <is>
          <t>Modular / portable power</t>
        </is>
      </c>
      <c r="D5453" s="12" t="inlineStr">
        <is>
          <t>Motor 5 of 10, 30 kW</t>
        </is>
      </c>
      <c r="E5453" s="12" t="inlineStr"/>
      <c r="F5453" s="12" t="inlineStr">
        <is>
          <t>SC-1 PCM + 15 kV GCB</t>
        </is>
      </c>
      <c r="G5453" s="12" t="inlineStr">
        <is>
          <t>SC-1</t>
        </is>
      </c>
      <c r="H5453" s="12" t="inlineStr">
        <is>
          <t>SC-1: aeroderivative simple-cycle unit (50 MW class)</t>
        </is>
      </c>
      <c r="I5453" s="12" t="inlineStr">
        <is>
          <t>LV 600 V</t>
        </is>
      </c>
      <c r="J5453" s="12" t="inlineStr">
        <is>
          <t>Type TC-ER 600 V 3/C Cu XHHW-2 + ground, PVC jacket</t>
        </is>
      </c>
      <c r="K5453" s="12" t="inlineStr">
        <is>
          <t>LV|3/C+G|6</t>
        </is>
      </c>
      <c r="L5453" s="12" t="inlineStr">
        <is>
          <t>3/C+G</t>
        </is>
      </c>
      <c r="M5453" s="12" t="inlineStr">
        <is>
          <t>6</t>
        </is>
      </c>
      <c r="N5453" s="12" t="n">
        <v>1</v>
      </c>
      <c r="O5453" s="12" t="n">
        <v>1</v>
      </c>
      <c r="P5453" s="12" t="n">
        <v>480</v>
      </c>
      <c r="Q5453" s="12" t="n">
        <v>30</v>
      </c>
      <c r="R5453" s="12" t="n">
        <v>42.5</v>
      </c>
      <c r="S5453" s="12" t="inlineStr">
        <is>
          <t>Tray</t>
        </is>
      </c>
      <c r="T5453" s="15" t="n">
        <v>5</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I-P-0275</t>
        </is>
      </c>
      <c r="B5454" s="12" t="inlineStr">
        <is>
          <t>I</t>
        </is>
      </c>
      <c r="C5454" s="12" t="inlineStr">
        <is>
          <t>Modular / portable power</t>
        </is>
      </c>
      <c r="D5454" s="12" t="inlineStr">
        <is>
          <t>Motor 6 of 10, 30 kW</t>
        </is>
      </c>
      <c r="E5454" s="12" t="inlineStr"/>
      <c r="F5454" s="12" t="inlineStr">
        <is>
          <t>SC-1 PCM + 15 kV GCB</t>
        </is>
      </c>
      <c r="G5454" s="12" t="inlineStr">
        <is>
          <t>SC-1</t>
        </is>
      </c>
      <c r="H5454" s="12" t="inlineStr">
        <is>
          <t>SC-1: aeroderivative simple-cycle unit (50 MW class)</t>
        </is>
      </c>
      <c r="I5454" s="12" t="inlineStr">
        <is>
          <t>LV 600 V</t>
        </is>
      </c>
      <c r="J5454" s="12" t="inlineStr">
        <is>
          <t>Type TC-ER 600 V 3/C Cu XHHW-2 + ground, PVC jacket</t>
        </is>
      </c>
      <c r="K5454" s="12" t="inlineStr">
        <is>
          <t>LV|3/C+G|6</t>
        </is>
      </c>
      <c r="L5454" s="12" t="inlineStr">
        <is>
          <t>3/C+G</t>
        </is>
      </c>
      <c r="M5454" s="12" t="inlineStr">
        <is>
          <t>6</t>
        </is>
      </c>
      <c r="N5454" s="12" t="n">
        <v>1</v>
      </c>
      <c r="O5454" s="12" t="n">
        <v>1</v>
      </c>
      <c r="P5454" s="12" t="n">
        <v>480</v>
      </c>
      <c r="Q5454" s="12" t="n">
        <v>30</v>
      </c>
      <c r="R5454" s="12" t="n">
        <v>42.5</v>
      </c>
      <c r="S5454" s="12" t="inlineStr">
        <is>
          <t>Tray</t>
        </is>
      </c>
      <c r="T5454" s="15" t="n">
        <v>5</v>
      </c>
      <c r="U5454" s="15" t="n">
        <v>62</v>
      </c>
      <c r="V5454" s="15">
        <f>ROUNDUP((T5454+U5454+2*'Read Me'!$B$13)*(1+'Read Me'!$B$12),-1)</f>
        <v/>
      </c>
      <c r="W5454" s="15">
        <f>V5454*N5454*O5454</f>
        <v/>
      </c>
      <c r="X5454" s="12">
        <f>IF(LEFT(I5454,2)="MV",2*N5454*IF(L5454="1/C",O5454,1),0)</f>
        <v/>
      </c>
      <c r="Y5454" s="12">
        <f>IF(OR(LEFT(K5454,4)="LVAX",LEFT(K5454,6)="MV15AX",LEFT(K5454,4)="CTAX",LEFT(K5454,2)="W|"),2*N5454*O5454,0)</f>
        <v/>
      </c>
      <c r="Z5454" s="12" t="inlineStr">
        <is>
          <t>VD 0.6 %</t>
        </is>
      </c>
      <c r="AA5454" s="12">
        <f>N5454*O5454</f>
        <v/>
      </c>
    </row>
    <row r="5455">
      <c r="A5455" s="12" t="inlineStr">
        <is>
          <t>I-P-0276</t>
        </is>
      </c>
      <c r="B5455" s="12" t="inlineStr">
        <is>
          <t>I</t>
        </is>
      </c>
      <c r="C5455" s="12" t="inlineStr">
        <is>
          <t>Modular / portable power</t>
        </is>
      </c>
      <c r="D5455" s="12" t="inlineStr">
        <is>
          <t>Motor 7 of 10, 30 kW</t>
        </is>
      </c>
      <c r="E5455" s="12" t="inlineStr"/>
      <c r="F5455" s="12" t="inlineStr">
        <is>
          <t>SC-1 PCM + 15 kV GCB</t>
        </is>
      </c>
      <c r="G5455" s="12" t="inlineStr">
        <is>
          <t>SC-1</t>
        </is>
      </c>
      <c r="H5455" s="12" t="inlineStr">
        <is>
          <t>SC-1: aeroderivative simple-cycle unit (50 MW class)</t>
        </is>
      </c>
      <c r="I5455" s="12" t="inlineStr">
        <is>
          <t>LV 600 V</t>
        </is>
      </c>
      <c r="J5455" s="12" t="inlineStr">
        <is>
          <t>Type TC-ER 600 V 3/C Cu XHHW-2 + ground, PVC jacket</t>
        </is>
      </c>
      <c r="K5455" s="12" t="inlineStr">
        <is>
          <t>LV|3/C+G|6</t>
        </is>
      </c>
      <c r="L5455" s="12" t="inlineStr">
        <is>
          <t>3/C+G</t>
        </is>
      </c>
      <c r="M5455" s="12" t="inlineStr">
        <is>
          <t>6</t>
        </is>
      </c>
      <c r="N5455" s="12" t="n">
        <v>1</v>
      </c>
      <c r="O5455" s="12" t="n">
        <v>1</v>
      </c>
      <c r="P5455" s="12" t="n">
        <v>480</v>
      </c>
      <c r="Q5455" s="12" t="n">
        <v>30</v>
      </c>
      <c r="R5455" s="12" t="n">
        <v>42.5</v>
      </c>
      <c r="S5455" s="12" t="inlineStr">
        <is>
          <t>Tray</t>
        </is>
      </c>
      <c r="T5455" s="15" t="n">
        <v>5</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0.6 %</t>
        </is>
      </c>
      <c r="AA5455" s="12">
        <f>N5455*O5455</f>
        <v/>
      </c>
    </row>
    <row r="5456">
      <c r="A5456" s="12" t="inlineStr">
        <is>
          <t>I-P-0277</t>
        </is>
      </c>
      <c r="B5456" s="12" t="inlineStr">
        <is>
          <t>I</t>
        </is>
      </c>
      <c r="C5456" s="12" t="inlineStr">
        <is>
          <t>Modular / portable power</t>
        </is>
      </c>
      <c r="D5456" s="12" t="inlineStr">
        <is>
          <t>Motor 8 of 10, 30 kW</t>
        </is>
      </c>
      <c r="E5456" s="12" t="inlineStr"/>
      <c r="F5456" s="12" t="inlineStr">
        <is>
          <t>SC-1 PCM + 15 kV GCB</t>
        </is>
      </c>
      <c r="G5456" s="12" t="inlineStr">
        <is>
          <t>SC-1</t>
        </is>
      </c>
      <c r="H5456" s="12" t="inlineStr">
        <is>
          <t>SC-1: aeroderivative simple-cycle unit (50 MW class)</t>
        </is>
      </c>
      <c r="I5456" s="12" t="inlineStr">
        <is>
          <t>LV 600 V</t>
        </is>
      </c>
      <c r="J5456" s="12" t="inlineStr">
        <is>
          <t>Type TC-ER 600 V 3/C Cu XHHW-2 + ground, PVC jacket</t>
        </is>
      </c>
      <c r="K5456" s="12" t="inlineStr">
        <is>
          <t>LV|3/C+G|6</t>
        </is>
      </c>
      <c r="L5456" s="12" t="inlineStr">
        <is>
          <t>3/C+G</t>
        </is>
      </c>
      <c r="M5456" s="12" t="inlineStr">
        <is>
          <t>6</t>
        </is>
      </c>
      <c r="N5456" s="12" t="n">
        <v>1</v>
      </c>
      <c r="O5456" s="12" t="n">
        <v>1</v>
      </c>
      <c r="P5456" s="12" t="n">
        <v>480</v>
      </c>
      <c r="Q5456" s="12" t="n">
        <v>30</v>
      </c>
      <c r="R5456" s="12" t="n">
        <v>42.5</v>
      </c>
      <c r="S5456" s="12" t="inlineStr">
        <is>
          <t>Tray</t>
        </is>
      </c>
      <c r="T5456" s="15" t="n">
        <v>5</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I-P-0278</t>
        </is>
      </c>
      <c r="B5457" s="12" t="inlineStr">
        <is>
          <t>I</t>
        </is>
      </c>
      <c r="C5457" s="12" t="inlineStr">
        <is>
          <t>Modular / portable power</t>
        </is>
      </c>
      <c r="D5457" s="12" t="inlineStr">
        <is>
          <t>Motor 9 of 10, 30 kW</t>
        </is>
      </c>
      <c r="E5457" s="12" t="inlineStr"/>
      <c r="F5457" s="12" t="inlineStr">
        <is>
          <t>SC-1 PCM + 15 kV GCB</t>
        </is>
      </c>
      <c r="G5457" s="12" t="inlineStr">
        <is>
          <t>SC-1</t>
        </is>
      </c>
      <c r="H5457" s="12" t="inlineStr">
        <is>
          <t>SC-1: aeroderivative simple-cycle unit (50 MW class)</t>
        </is>
      </c>
      <c r="I5457" s="12" t="inlineStr">
        <is>
          <t>LV 600 V</t>
        </is>
      </c>
      <c r="J5457" s="12" t="inlineStr">
        <is>
          <t>Type TC-ER 600 V 3/C Cu XHHW-2 + ground, PVC jacket</t>
        </is>
      </c>
      <c r="K5457" s="12" t="inlineStr">
        <is>
          <t>LV|3/C+G|6</t>
        </is>
      </c>
      <c r="L5457" s="12" t="inlineStr">
        <is>
          <t>3/C+G</t>
        </is>
      </c>
      <c r="M5457" s="12" t="inlineStr">
        <is>
          <t>6</t>
        </is>
      </c>
      <c r="N5457" s="12" t="n">
        <v>1</v>
      </c>
      <c r="O5457" s="12" t="n">
        <v>1</v>
      </c>
      <c r="P5457" s="12" t="n">
        <v>480</v>
      </c>
      <c r="Q5457" s="12" t="n">
        <v>30</v>
      </c>
      <c r="R5457" s="12" t="n">
        <v>42.5</v>
      </c>
      <c r="S5457" s="12" t="inlineStr">
        <is>
          <t>Tray</t>
        </is>
      </c>
      <c r="T5457" s="15" t="n">
        <v>5</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I-P-0279</t>
        </is>
      </c>
      <c r="B5458" s="12" t="inlineStr">
        <is>
          <t>I</t>
        </is>
      </c>
      <c r="C5458" s="12" t="inlineStr">
        <is>
          <t>Modular / portable power</t>
        </is>
      </c>
      <c r="D5458" s="12" t="inlineStr">
        <is>
          <t>Motor 10 of 10, 30 kW</t>
        </is>
      </c>
      <c r="E5458" s="12" t="inlineStr"/>
      <c r="F5458" s="12" t="inlineStr">
        <is>
          <t>SC-1 PCM + 15 kV GCB</t>
        </is>
      </c>
      <c r="G5458" s="12" t="inlineStr">
        <is>
          <t>SC-1</t>
        </is>
      </c>
      <c r="H5458" s="12" t="inlineStr">
        <is>
          <t>SC-1: aeroderivative simple-cycle unit (50 MW class)</t>
        </is>
      </c>
      <c r="I5458" s="12" t="inlineStr">
        <is>
          <t>LV 600 V</t>
        </is>
      </c>
      <c r="J5458" s="12" t="inlineStr">
        <is>
          <t>Type TC-ER 600 V 3/C Cu XHHW-2 + ground, PVC jacket</t>
        </is>
      </c>
      <c r="K5458" s="12" t="inlineStr">
        <is>
          <t>LV|3/C+G|6</t>
        </is>
      </c>
      <c r="L5458" s="12" t="inlineStr">
        <is>
          <t>3/C+G</t>
        </is>
      </c>
      <c r="M5458" s="12" t="inlineStr">
        <is>
          <t>6</t>
        </is>
      </c>
      <c r="N5458" s="12" t="n">
        <v>1</v>
      </c>
      <c r="O5458" s="12" t="n">
        <v>1</v>
      </c>
      <c r="P5458" s="12" t="n">
        <v>480</v>
      </c>
      <c r="Q5458" s="12" t="n">
        <v>30</v>
      </c>
      <c r="R5458" s="12" t="n">
        <v>42.5</v>
      </c>
      <c r="S5458" s="12" t="inlineStr">
        <is>
          <t>Tray</t>
        </is>
      </c>
      <c r="T5458" s="15" t="n">
        <v>5</v>
      </c>
      <c r="U5458" s="15" t="n">
        <v>62</v>
      </c>
      <c r="V5458" s="15">
        <f>ROUNDUP((T5458+U5458+2*'Read Me'!$B$13)*(1+'Read Me'!$B$12),-1)</f>
        <v/>
      </c>
      <c r="W5458" s="15">
        <f>V5458*N5458*O5458</f>
        <v/>
      </c>
      <c r="X5458" s="12">
        <f>IF(LEFT(I5458,2)="MV",2*N5458*IF(L5458="1/C",O5458,1),0)</f>
        <v/>
      </c>
      <c r="Y5458" s="12">
        <f>IF(OR(LEFT(K5458,4)="LVAX",LEFT(K5458,6)="MV15AX",LEFT(K5458,4)="CTAX",LEFT(K5458,2)="W|"),2*N5458*O5458,0)</f>
        <v/>
      </c>
      <c r="Z5458" s="12" t="inlineStr">
        <is>
          <t>VD 0.6 %</t>
        </is>
      </c>
      <c r="AA5458" s="12">
        <f>N5458*O5458</f>
        <v/>
      </c>
    </row>
    <row r="5459">
      <c r="A5459" s="12" t="inlineStr">
        <is>
          <t>I-P-0280</t>
        </is>
      </c>
      <c r="B5459" s="12" t="inlineStr">
        <is>
          <t>I</t>
        </is>
      </c>
      <c r="C5459" s="12" t="inlineStr">
        <is>
          <t>Modular / portable power</t>
        </is>
      </c>
      <c r="D5459" s="12" t="inlineStr">
        <is>
          <t>Area / platform lighting circuit 1 (8 fixtures)</t>
        </is>
      </c>
      <c r="E5459" s="12" t="inlineStr"/>
      <c r="F5459" s="12" t="inlineStr">
        <is>
          <t>SC-1 PCM + 15 kV GCB</t>
        </is>
      </c>
      <c r="G5459" s="12" t="inlineStr">
        <is>
          <t>SC-1</t>
        </is>
      </c>
      <c r="H5459" s="12" t="inlineStr">
        <is>
          <t>SC-1: aeroderivative simple-cycle unit (50 MW class)</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3</v>
      </c>
      <c r="R5459" s="12" t="n">
        <v>5</v>
      </c>
      <c r="S5459" s="12" t="inlineStr">
        <is>
          <t>Tray</t>
        </is>
      </c>
      <c r="T5459" s="15" t="n">
        <v>305</v>
      </c>
      <c r="U5459" s="15" t="n">
        <v>62</v>
      </c>
      <c r="V5459" s="15">
        <f>ROUNDUP((T5459+U5459+2*'Read Me'!$B$13)*(1+'Read Me'!$B$12),-1)</f>
        <v/>
      </c>
      <c r="W5459" s="15">
        <f>V5459*N5459*O5459</f>
        <v/>
      </c>
      <c r="X5459" s="12">
        <f>IF(LEFT(I5459,2)="MV",2*N5459*IF(L5459="1/C",O5459,1),0)</f>
        <v/>
      </c>
      <c r="Y5459" s="12">
        <f>IF(OR(LEFT(K5459,4)="LVAX",LEFT(K5459,6)="MV15AX",LEFT(K5459,4)="CTAX",LEFT(K5459,2)="W|"),2*N5459*O5459,0)</f>
        <v/>
      </c>
      <c r="Z5459" s="12" t="inlineStr">
        <is>
          <t>fixture-to-fixture run included</t>
        </is>
      </c>
      <c r="AA5459" s="12">
        <f>N5459*O5459</f>
        <v/>
      </c>
    </row>
    <row r="5460">
      <c r="A5460" s="12" t="inlineStr">
        <is>
          <t>I-P-0281</t>
        </is>
      </c>
      <c r="B5460" s="12" t="inlineStr">
        <is>
          <t>I</t>
        </is>
      </c>
      <c r="C5460" s="12" t="inlineStr">
        <is>
          <t>Modular / portable power</t>
        </is>
      </c>
      <c r="D5460" s="12" t="inlineStr">
        <is>
          <t>SC-2 CEMS shelter panel: analysers, heated sample line, lighting</t>
        </is>
      </c>
      <c r="E5460" s="12" t="inlineStr"/>
      <c r="F5460" s="12" t="inlineStr">
        <is>
          <t>SC-2 PCM + 15 kV GCB</t>
        </is>
      </c>
      <c r="G5460" s="12" t="inlineStr"/>
      <c r="H5460" s="12" t="inlineStr">
        <is>
          <t>SC-2 CEMS shelter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19</v>
      </c>
      <c r="S5460" s="12" t="inlineStr">
        <is>
          <t>Duct bank</t>
        </is>
      </c>
      <c r="T5460" s="15" t="n">
        <v>74</v>
      </c>
      <c r="U5460" s="15" t="n">
        <v>112</v>
      </c>
      <c r="V5460" s="15">
        <f>ROUNDUP((T5460+U5460+2*'Read Me'!$B$13)*(1+'Read Me'!$B$12),-1)</f>
        <v/>
      </c>
      <c r="W5460" s="15">
        <f>V5460*N5460*O5460</f>
        <v/>
      </c>
      <c r="X5460" s="12">
        <f>IF(LEFT(I5460,2)="MV",2*N5460*IF(L5460="1/C",O5460,1),0)</f>
        <v/>
      </c>
      <c r="Y5460" s="12">
        <f>IF(OR(LEFT(K5460,4)="LVAX",LEFT(K5460,6)="MV15AX",LEFT(K5460,4)="CTAX",LEFT(K5460,2)="W|"),2*N5460*O5460,0)</f>
        <v/>
      </c>
      <c r="Z5460" s="12" t="inlineStr">
        <is>
          <t>VD 1.7 %</t>
        </is>
      </c>
      <c r="AA5460" s="12">
        <f>N5460*O5460</f>
        <v/>
      </c>
    </row>
    <row r="5461">
      <c r="A5461" s="12" t="inlineStr">
        <is>
          <t>I-P-0282</t>
        </is>
      </c>
      <c r="B5461" s="12" t="inlineStr">
        <is>
          <t>I</t>
        </is>
      </c>
      <c r="C5461" s="12" t="inlineStr">
        <is>
          <t>Modular / portable power</t>
        </is>
      </c>
      <c r="D5461" s="12" t="inlineStr">
        <is>
          <t>Motor 1 of 2, 5 kW</t>
        </is>
      </c>
      <c r="E5461" s="12" t="inlineStr"/>
      <c r="F5461" s="12" t="inlineStr">
        <is>
          <t>SC-2 PCM + 15 kV GCB</t>
        </is>
      </c>
      <c r="G5461" s="12" t="inlineStr"/>
      <c r="H5461" s="12" t="inlineStr">
        <is>
          <t>SC-2 CEMS shelter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5</v>
      </c>
      <c r="R5461" s="12" t="n">
        <v>7.1</v>
      </c>
      <c r="S5461" s="12" t="inlineStr">
        <is>
          <t>Duct bank</t>
        </is>
      </c>
      <c r="T5461" s="15" t="n">
        <v>74</v>
      </c>
      <c r="U5461" s="15" t="n">
        <v>112</v>
      </c>
      <c r="V5461" s="15">
        <f>ROUNDUP((T5461+U5461+2*'Read Me'!$B$13)*(1+'Read Me'!$B$12),-1)</f>
        <v/>
      </c>
      <c r="W5461" s="15">
        <f>V5461*N5461*O5461</f>
        <v/>
      </c>
      <c r="X5461" s="12">
        <f>IF(LEFT(I5461,2)="MV",2*N5461*IF(L5461="1/C",O5461,1),0)</f>
        <v/>
      </c>
      <c r="Y5461" s="12">
        <f>IF(OR(LEFT(K5461,4)="LVAX",LEFT(K5461,6)="MV15AX",LEFT(K5461,4)="CTAX",LEFT(K5461,2)="W|"),2*N5461*O5461,0)</f>
        <v/>
      </c>
      <c r="Z5461" s="12" t="inlineStr">
        <is>
          <t>VD 0.6 %</t>
        </is>
      </c>
      <c r="AA5461" s="12">
        <f>N5461*O5461</f>
        <v/>
      </c>
    </row>
    <row r="5462">
      <c r="A5462" s="12" t="inlineStr">
        <is>
          <t>I-P-0283</t>
        </is>
      </c>
      <c r="B5462" s="12" t="inlineStr">
        <is>
          <t>I</t>
        </is>
      </c>
      <c r="C5462" s="12" t="inlineStr">
        <is>
          <t>Modular / portable power</t>
        </is>
      </c>
      <c r="D5462" s="12" t="inlineStr">
        <is>
          <t>Motor 2 of 2, 5 kW</t>
        </is>
      </c>
      <c r="E5462" s="12" t="inlineStr"/>
      <c r="F5462" s="12" t="inlineStr">
        <is>
          <t>SC-2 PCM + 15 kV GCB</t>
        </is>
      </c>
      <c r="G5462" s="12" t="inlineStr"/>
      <c r="H5462" s="12" t="inlineStr">
        <is>
          <t>SC-2 CEMS shelter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5</v>
      </c>
      <c r="R5462" s="12" t="n">
        <v>7.1</v>
      </c>
      <c r="S5462" s="12" t="inlineStr">
        <is>
          <t>Duct bank</t>
        </is>
      </c>
      <c r="T5462" s="15" t="n">
        <v>74</v>
      </c>
      <c r="U5462" s="15" t="n">
        <v>112</v>
      </c>
      <c r="V5462" s="15">
        <f>ROUNDUP((T5462+U5462+2*'Read Me'!$B$13)*(1+'Read Me'!$B$12),-1)</f>
        <v/>
      </c>
      <c r="W5462" s="15">
        <f>V5462*N5462*O5462</f>
        <v/>
      </c>
      <c r="X5462" s="12">
        <f>IF(LEFT(I5462,2)="MV",2*N5462*IF(L5462="1/C",O5462,1),0)</f>
        <v/>
      </c>
      <c r="Y5462" s="12">
        <f>IF(OR(LEFT(K5462,4)="LVAX",LEFT(K5462,6)="MV15AX",LEFT(K5462,4)="CTAX",LEFT(K5462,2)="W|"),2*N5462*O5462,0)</f>
        <v/>
      </c>
      <c r="Z5462" s="12" t="inlineStr">
        <is>
          <t>VD 0.6 %</t>
        </is>
      </c>
      <c r="AA5462" s="12">
        <f>N5462*O5462</f>
        <v/>
      </c>
    </row>
    <row r="5463">
      <c r="A5463" s="12" t="inlineStr">
        <is>
          <t>I-P-0284</t>
        </is>
      </c>
      <c r="B5463" s="12" t="inlineStr">
        <is>
          <t>I</t>
        </is>
      </c>
      <c r="C5463" s="12" t="inlineStr">
        <is>
          <t>Modular / portable power</t>
        </is>
      </c>
      <c r="D5463" s="12" t="inlineStr">
        <is>
          <t>SC-2 125 V DC battery to charger / DC panel</t>
        </is>
      </c>
      <c r="E5463" s="12" t="inlineStr"/>
      <c r="F5463" s="12" t="inlineStr">
        <is>
          <t>SC-2 PCM + 15 kV GCB</t>
        </is>
      </c>
      <c r="G5463" s="12" t="inlineStr"/>
      <c r="H5463" s="12" t="inlineStr">
        <is>
          <t>SC-2 PCM + 15 kV GCB</t>
        </is>
      </c>
      <c r="I5463" s="12" t="inlineStr">
        <is>
          <t>LV 600 V</t>
        </is>
      </c>
      <c r="J5463" s="12" t="inlineStr">
        <is>
          <t>XHHW-2 600 V 1/C Cu (feeder sets in tray / duct)</t>
        </is>
      </c>
      <c r="K5463" s="12" t="inlineStr">
        <is>
          <t>LV1C|1/C|4/0</t>
        </is>
      </c>
      <c r="L5463" s="12" t="inlineStr">
        <is>
          <t>1/C</t>
        </is>
      </c>
      <c r="M5463" s="12" t="inlineStr">
        <is>
          <t>4/0</t>
        </is>
      </c>
      <c r="N5463" s="12" t="n">
        <v>1</v>
      </c>
      <c r="O5463" s="12" t="n">
        <v>2</v>
      </c>
      <c r="P5463" s="12" t="n">
        <v>125</v>
      </c>
      <c r="Q5463" s="12" t="n"/>
      <c r="R5463" s="12" t="n"/>
      <c r="S5463" s="12" t="inlineStr">
        <is>
          <t>Tray</t>
        </is>
      </c>
      <c r="T5463" s="15" t="n">
        <v>15</v>
      </c>
      <c r="U5463" s="15" t="n">
        <v>5</v>
      </c>
      <c r="V5463" s="15">
        <f>ROUNDUP((T5463+U5463+2*'Read Me'!$B$13)*(1+'Read Me'!$B$12),-1)</f>
        <v/>
      </c>
      <c r="W5463" s="15">
        <f>V5463*N5463*O5463</f>
        <v/>
      </c>
      <c r="X5463" s="12">
        <f>IF(LEFT(I5463,2)="MV",2*N5463*IF(L5463="1/C",O5463,1),0)</f>
        <v/>
      </c>
      <c r="Y5463" s="12">
        <f>IF(OR(LEFT(K5463,4)="LVAX",LEFT(K5463,6)="MV15AX",LEFT(K5463,4)="CTAX",LEFT(K5463,2)="W|"),2*N5463*O5463,0)</f>
        <v/>
      </c>
      <c r="Z5463" s="12" t="inlineStr">
        <is>
          <t>battery rack inside the PCM</t>
        </is>
      </c>
      <c r="AA5463" s="12">
        <f>N5463*O5463</f>
        <v/>
      </c>
    </row>
    <row r="5464">
      <c r="A5464" s="12" t="inlineStr">
        <is>
          <t>I-P-0285</t>
        </is>
      </c>
      <c r="B5464" s="12" t="inlineStr">
        <is>
          <t>I</t>
        </is>
      </c>
      <c r="C5464" s="12" t="inlineStr">
        <is>
          <t>Modular / portable power</t>
        </is>
      </c>
      <c r="D5464" s="12" t="inlineStr">
        <is>
          <t>SC-2 PCM lighting, receptacles and HVAC (from its own 480 V board)</t>
        </is>
      </c>
      <c r="E5464" s="12" t="inlineStr"/>
      <c r="F5464" s="12" t="inlineStr">
        <is>
          <t>SC-2 PCM + 15 kV GCB</t>
        </is>
      </c>
      <c r="G5464" s="12" t="inlineStr"/>
      <c r="H5464" s="12" t="inlineStr">
        <is>
          <t>SC-2 PCM + 15 kV GCB</t>
        </is>
      </c>
      <c r="I5464" s="12" t="inlineStr">
        <is>
          <t>LV 600 V</t>
        </is>
      </c>
      <c r="J5464" s="12" t="inlineStr">
        <is>
          <t>Type TC-ER 600 V 3/C Cu XHHW-2 + ground, PVC jacket</t>
        </is>
      </c>
      <c r="K5464" s="12" t="inlineStr">
        <is>
          <t>LV|3/C+G|2</t>
        </is>
      </c>
      <c r="L5464" s="12" t="inlineStr">
        <is>
          <t>3/C+G</t>
        </is>
      </c>
      <c r="M5464" s="12" t="inlineStr">
        <is>
          <t>2</t>
        </is>
      </c>
      <c r="N5464" s="12" t="n">
        <v>1</v>
      </c>
      <c r="O5464" s="12" t="n">
        <v>1</v>
      </c>
      <c r="P5464" s="12" t="n">
        <v>480</v>
      </c>
      <c r="Q5464" s="12" t="n">
        <v>40</v>
      </c>
      <c r="R5464" s="12" t="n"/>
      <c r="S5464" s="12" t="inlineStr">
        <is>
          <t>Tray</t>
        </is>
      </c>
      <c r="T5464" s="15" t="n">
        <v>80</v>
      </c>
      <c r="U5464" s="15" t="n">
        <v>10</v>
      </c>
      <c r="V5464" s="15">
        <f>ROUNDUP((T5464+U5464+2*'Read Me'!$B$13)*(1+'Read Me'!$B$12),-1)</f>
        <v/>
      </c>
      <c r="W5464" s="15">
        <f>V5464*N5464*O5464</f>
        <v/>
      </c>
      <c r="X5464" s="12">
        <f>IF(LEFT(I5464,2)="MV",2*N5464*IF(L5464="1/C",O5464,1),0)</f>
        <v/>
      </c>
      <c r="Y5464" s="12">
        <f>IF(OR(LEFT(K5464,4)="LVAX",LEFT(K5464,6)="MV15AX",LEFT(K5464,4)="CTAX",LEFT(K5464,2)="W|"),2*N5464*O5464,0)</f>
        <v/>
      </c>
      <c r="Z5464" s="12" t="inlineStr">
        <is>
          <t>internal to the PCM; aux transformer 13.8 kV / 480 V inside</t>
        </is>
      </c>
      <c r="AA5464" s="12">
        <f>N5464*O5464</f>
        <v/>
      </c>
    </row>
    <row r="5465">
      <c r="A5465" s="12" t="inlineStr">
        <is>
          <t>I-P-0286</t>
        </is>
      </c>
      <c r="B5465" s="12" t="inlineStr">
        <is>
          <t>I</t>
        </is>
      </c>
      <c r="C5465" s="12" t="inlineStr">
        <is>
          <t>Modular / portable power</t>
        </is>
      </c>
      <c r="D5465" s="12" t="inlineStr">
        <is>
          <t>Area / platform lighting circuit 1 (10 fixtures)</t>
        </is>
      </c>
      <c r="E5465" s="12" t="inlineStr"/>
      <c r="F5465" s="12" t="inlineStr">
        <is>
          <t>SC-2 PCM + 15 kV GCB</t>
        </is>
      </c>
      <c r="G5465" s="12" t="inlineStr"/>
      <c r="H5465" s="12" t="inlineStr">
        <is>
          <t>SC-2 SCR / CO catalyst</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3</v>
      </c>
      <c r="R5465" s="12" t="n">
        <v>5</v>
      </c>
      <c r="S5465" s="12" t="inlineStr">
        <is>
          <t>Duct bank</t>
        </is>
      </c>
      <c r="T5465" s="15" t="n">
        <v>348</v>
      </c>
      <c r="U5465" s="15" t="n">
        <v>64</v>
      </c>
      <c r="V5465" s="15">
        <f>ROUNDUP((T5465+U5465+2*'Read Me'!$B$13)*(1+'Read Me'!$B$12),-1)</f>
        <v/>
      </c>
      <c r="W5465" s="15">
        <f>V5465*N5465*O5465</f>
        <v/>
      </c>
      <c r="X5465" s="12">
        <f>IF(LEFT(I5465,2)="MV",2*N5465*IF(L5465="1/C",O5465,1),0)</f>
        <v/>
      </c>
      <c r="Y5465" s="12">
        <f>IF(OR(LEFT(K5465,4)="LVAX",LEFT(K5465,6)="MV15AX",LEFT(K5465,4)="CTAX",LEFT(K5465,2)="W|"),2*N5465*O5465,0)</f>
        <v/>
      </c>
      <c r="Z5465" s="12" t="inlineStr">
        <is>
          <t>fixture-to-fixture run included</t>
        </is>
      </c>
      <c r="AA5465" s="12">
        <f>N5465*O5465</f>
        <v/>
      </c>
    </row>
    <row r="5466">
      <c r="A5466" s="12" t="inlineStr">
        <is>
          <t>I-P-0287</t>
        </is>
      </c>
      <c r="B5466" s="12" t="inlineStr">
        <is>
          <t>I</t>
        </is>
      </c>
      <c r="C5466" s="12" t="inlineStr">
        <is>
          <t>Modular / portable power</t>
        </is>
      </c>
      <c r="D5466" s="12" t="inlineStr">
        <is>
          <t>SC-2 ammonia vaporiser electric heater</t>
        </is>
      </c>
      <c r="E5466" s="12" t="inlineStr"/>
      <c r="F5466" s="12" t="inlineStr">
        <is>
          <t>SC-2 PCM + 15 kV GCB</t>
        </is>
      </c>
      <c r="G5466" s="12" t="inlineStr"/>
      <c r="H5466" s="12" t="inlineStr">
        <is>
          <t>SC-2 ammonia flow-control unit</t>
        </is>
      </c>
      <c r="I5466" s="12" t="inlineStr">
        <is>
          <t>LV 600 V</t>
        </is>
      </c>
      <c r="J5466" s="12" t="inlineStr">
        <is>
          <t>Type TC-ER 600 V 3/C Cu XHHW-2 + ground, PVC jacket</t>
        </is>
      </c>
      <c r="K5466" s="12" t="inlineStr">
        <is>
          <t>LV|3/C+G|4</t>
        </is>
      </c>
      <c r="L5466" s="12" t="inlineStr">
        <is>
          <t>3/C+G</t>
        </is>
      </c>
      <c r="M5466" s="12" t="inlineStr">
        <is>
          <t>4</t>
        </is>
      </c>
      <c r="N5466" s="12" t="n">
        <v>1</v>
      </c>
      <c r="O5466" s="12" t="n">
        <v>1</v>
      </c>
      <c r="P5466" s="12" t="n">
        <v>480</v>
      </c>
      <c r="Q5466" s="12" t="n">
        <v>45</v>
      </c>
      <c r="R5466" s="12" t="n">
        <v>57</v>
      </c>
      <c r="S5466" s="12" t="inlineStr">
        <is>
          <t>Duct bank</t>
        </is>
      </c>
      <c r="T5466" s="15" t="n">
        <v>48</v>
      </c>
      <c r="U5466" s="15" t="n">
        <v>62</v>
      </c>
      <c r="V5466" s="15">
        <f>ROUNDUP((T5466+U5466+2*'Read Me'!$B$13)*(1+'Read Me'!$B$12),-1)</f>
        <v/>
      </c>
      <c r="W5466" s="15">
        <f>V5466*N5466*O5466</f>
        <v/>
      </c>
      <c r="X5466" s="12">
        <f>IF(LEFT(I5466,2)="MV",2*N5466*IF(L5466="1/C",O5466,1),0)</f>
        <v/>
      </c>
      <c r="Y5466" s="12">
        <f>IF(OR(LEFT(K5466,4)="LVAX",LEFT(K5466,6)="MV15AX",LEFT(K5466,4)="CTAX",LEFT(K5466,2)="W|"),2*N5466*O5466,0)</f>
        <v/>
      </c>
      <c r="Z5466" s="12" t="inlineStr">
        <is>
          <t>VD 0.8 %</t>
        </is>
      </c>
      <c r="AA5466" s="12">
        <f>N5466*O5466</f>
        <v/>
      </c>
    </row>
    <row r="5467">
      <c r="A5467" s="12" t="inlineStr">
        <is>
          <t>I-P-0288</t>
        </is>
      </c>
      <c r="B5467" s="12" t="inlineStr">
        <is>
          <t>I</t>
        </is>
      </c>
      <c r="C5467" s="12" t="inlineStr">
        <is>
          <t>Modular / portable power</t>
        </is>
      </c>
      <c r="D5467" s="12" t="inlineStr">
        <is>
          <t>Motor 1 of 2, 7.5 kW</t>
        </is>
      </c>
      <c r="E5467" s="12" t="inlineStr"/>
      <c r="F5467" s="12" t="inlineStr">
        <is>
          <t>SC-2 PCM + 15 kV GCB</t>
        </is>
      </c>
      <c r="G5467" s="12" t="inlineStr"/>
      <c r="H5467" s="12" t="inlineStr">
        <is>
          <t>SC-2 ammonia flow-control unit</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7.5</v>
      </c>
      <c r="R5467" s="12" t="n">
        <v>10.6</v>
      </c>
      <c r="S5467" s="12" t="inlineStr">
        <is>
          <t>Duct bank</t>
        </is>
      </c>
      <c r="T5467" s="15" t="n">
        <v>48</v>
      </c>
      <c r="U5467" s="15" t="n">
        <v>62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I-P-0289</t>
        </is>
      </c>
      <c r="B5468" s="12" t="inlineStr">
        <is>
          <t>I</t>
        </is>
      </c>
      <c r="C5468" s="12" t="inlineStr">
        <is>
          <t>Modular / portable power</t>
        </is>
      </c>
      <c r="D5468" s="12" t="inlineStr">
        <is>
          <t>Motor 2 of 2, 7.5 kW</t>
        </is>
      </c>
      <c r="E5468" s="12" t="inlineStr"/>
      <c r="F5468" s="12" t="inlineStr">
        <is>
          <t>SC-2 PCM + 15 kV GCB</t>
        </is>
      </c>
      <c r="G5468" s="12" t="inlineStr"/>
      <c r="H5468" s="12" t="inlineStr">
        <is>
          <t>SC-2 ammonia flow-control unit</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7.5</v>
      </c>
      <c r="R5468" s="12" t="n">
        <v>10.6</v>
      </c>
      <c r="S5468" s="12" t="inlineStr">
        <is>
          <t>Duct bank</t>
        </is>
      </c>
      <c r="T5468" s="15" t="n">
        <v>48</v>
      </c>
      <c r="U5468" s="15" t="n">
        <v>62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I-P-0290</t>
        </is>
      </c>
      <c r="B5469" s="12" t="inlineStr">
        <is>
          <t>I</t>
        </is>
      </c>
      <c r="C5469" s="12" t="inlineStr">
        <is>
          <t>Modular / portable power</t>
        </is>
      </c>
      <c r="D5469" s="12" t="inlineStr">
        <is>
          <t>SC-2 water-wash tank heater</t>
        </is>
      </c>
      <c r="E5469" s="12" t="inlineStr"/>
      <c r="F5469" s="12" t="inlineStr">
        <is>
          <t>SC-2 PCM + 15 kV GCB</t>
        </is>
      </c>
      <c r="G5469" s="12" t="inlineStr"/>
      <c r="H5469" s="12" t="inlineStr">
        <is>
          <t>SC-2 auxiliary skids: fuel-gas module, water-wash skid</t>
        </is>
      </c>
      <c r="I5469" s="12" t="inlineStr">
        <is>
          <t>LV 600 V</t>
        </is>
      </c>
      <c r="J5469" s="12" t="inlineStr">
        <is>
          <t>ARMOR-X MC-HL 600 V 3/C Cu XHHW-2 + ground, CWA, black PVC (Class I Div 2)</t>
        </is>
      </c>
      <c r="K5469" s="12" t="inlineStr">
        <is>
          <t>LVAX|3/C+G|10</t>
        </is>
      </c>
      <c r="L5469" s="12" t="inlineStr">
        <is>
          <t>3/C+G</t>
        </is>
      </c>
      <c r="M5469" s="12" t="inlineStr">
        <is>
          <t>10</t>
        </is>
      </c>
      <c r="N5469" s="12" t="n">
        <v>1</v>
      </c>
      <c r="O5469" s="12" t="n">
        <v>1</v>
      </c>
      <c r="P5469" s="12" t="n">
        <v>480</v>
      </c>
      <c r="Q5469" s="12" t="n">
        <v>6</v>
      </c>
      <c r="R5469" s="12" t="n">
        <v>7.6</v>
      </c>
      <c r="S5469" s="12" t="inlineStr">
        <is>
          <t>Duct bank</t>
        </is>
      </c>
      <c r="T5469" s="15" t="n">
        <v>10</v>
      </c>
      <c r="U5469" s="15" t="n">
        <v>43</v>
      </c>
      <c r="V5469" s="15">
        <f>ROUNDUP((T5469+U5469+2*'Read Me'!$B$13)*(1+'Read Me'!$B$12),-1)</f>
        <v/>
      </c>
      <c r="W5469" s="15">
        <f>V5469*N5469*O5469</f>
        <v/>
      </c>
      <c r="X5469" s="12">
        <f>IF(LEFT(I5469,2)="MV",2*N5469*IF(L5469="1/C",O5469,1),0)</f>
        <v/>
      </c>
      <c r="Y5469" s="12">
        <f>IF(OR(LEFT(K5469,4)="LVAX",LEFT(K5469,6)="MV15AX",LEFT(K5469,4)="CTAX",LEFT(K5469,2)="W|"),2*N5469*O5469,0)</f>
        <v/>
      </c>
      <c r="Z5469" s="12" t="inlineStr">
        <is>
          <t>VD 0.2 %</t>
        </is>
      </c>
      <c r="AA5469" s="12">
        <f>N5469*O5469</f>
        <v/>
      </c>
    </row>
    <row r="5470">
      <c r="A5470" s="12" t="inlineStr">
        <is>
          <t>I-P-0291</t>
        </is>
      </c>
      <c r="B5470" s="12" t="inlineStr">
        <is>
          <t>I</t>
        </is>
      </c>
      <c r="C5470" s="12" t="inlineStr">
        <is>
          <t>Modular / portable power</t>
        </is>
      </c>
      <c r="D5470" s="12" t="inlineStr">
        <is>
          <t>Motor 1 of 1, 7.5 kW</t>
        </is>
      </c>
      <c r="E5470" s="12" t="inlineStr"/>
      <c r="F5470" s="12" t="inlineStr">
        <is>
          <t>SC-2 PCM + 15 kV GCB</t>
        </is>
      </c>
      <c r="G5470" s="12" t="inlineStr"/>
      <c r="H5470" s="12" t="inlineStr">
        <is>
          <t>SC-2 auxiliary skids: fuel-gas module, water-wash skid</t>
        </is>
      </c>
      <c r="I5470" s="12" t="inlineStr">
        <is>
          <t>LV 600 V</t>
        </is>
      </c>
      <c r="J5470" s="12" t="inlineStr">
        <is>
          <t>ARMOR-X MC-HL 600 V 3/C Cu XHHW-2 + ground, CWA, black PVC (Class I Div 2)</t>
        </is>
      </c>
      <c r="K5470" s="12" t="inlineStr">
        <is>
          <t>LVAX|3/C+G|10</t>
        </is>
      </c>
      <c r="L5470" s="12" t="inlineStr">
        <is>
          <t>3/C+G</t>
        </is>
      </c>
      <c r="M5470" s="12" t="inlineStr">
        <is>
          <t>10</t>
        </is>
      </c>
      <c r="N5470" s="12" t="n">
        <v>1</v>
      </c>
      <c r="O5470" s="12" t="n">
        <v>1</v>
      </c>
      <c r="P5470" s="12" t="n">
        <v>480</v>
      </c>
      <c r="Q5470" s="12" t="n">
        <v>7.5</v>
      </c>
      <c r="R5470" s="12" t="n">
        <v>10.6</v>
      </c>
      <c r="S5470" s="12" t="inlineStr">
        <is>
          <t>Duct bank</t>
        </is>
      </c>
      <c r="T5470" s="15" t="n">
        <v>10</v>
      </c>
      <c r="U5470" s="15" t="n">
        <v>43</v>
      </c>
      <c r="V5470" s="15">
        <f>ROUNDUP((T5470+U5470+2*'Read Me'!$B$13)*(1+'Read Me'!$B$12),-1)</f>
        <v/>
      </c>
      <c r="W5470" s="15">
        <f>V5470*N5470*O5470</f>
        <v/>
      </c>
      <c r="X5470" s="12">
        <f>IF(LEFT(I5470,2)="MV",2*N5470*IF(L5470="1/C",O5470,1),0)</f>
        <v/>
      </c>
      <c r="Y5470" s="12">
        <f>IF(OR(LEFT(K5470,4)="LVAX",LEFT(K5470,6)="MV15AX",LEFT(K5470,4)="CTAX",LEFT(K5470,2)="W|"),2*N5470*O5470,0)</f>
        <v/>
      </c>
      <c r="Z5470" s="12" t="inlineStr">
        <is>
          <t>VD 0.3 %</t>
        </is>
      </c>
      <c r="AA5470" s="12">
        <f>N5470*O5470</f>
        <v/>
      </c>
    </row>
    <row r="5471">
      <c r="A5471" s="12" t="inlineStr">
        <is>
          <t>I-P-0292</t>
        </is>
      </c>
      <c r="B5471" s="12" t="inlineStr">
        <is>
          <t>I</t>
        </is>
      </c>
      <c r="C5471" s="12" t="inlineStr">
        <is>
          <t>Modular / portable power</t>
        </is>
      </c>
      <c r="D5471" s="12" t="inlineStr">
        <is>
          <t>Motor 1 of 4, 15 kW</t>
        </is>
      </c>
      <c r="E5471" s="12" t="inlineStr"/>
      <c r="F5471" s="12" t="inlineStr">
        <is>
          <t>SC-2 PCM + 15 kV GCB</t>
        </is>
      </c>
      <c r="G5471" s="12" t="inlineStr"/>
      <c r="H5471" s="12" t="inlineStr">
        <is>
          <t>SC-2 lube-oil fin-fan cooler</t>
        </is>
      </c>
      <c r="I5471" s="12" t="inlineStr">
        <is>
          <t>LV 600 V</t>
        </is>
      </c>
      <c r="J5471" s="12" t="inlineStr">
        <is>
          <t>Type TC-ER 600 V 3/C Cu XHHW-2 + ground, PVC jacket</t>
        </is>
      </c>
      <c r="K5471" s="12" t="inlineStr">
        <is>
          <t>LV|3/C+G|10</t>
        </is>
      </c>
      <c r="L5471" s="12" t="inlineStr">
        <is>
          <t>3/C+G</t>
        </is>
      </c>
      <c r="M5471" s="12" t="inlineStr">
        <is>
          <t>10</t>
        </is>
      </c>
      <c r="N5471" s="12" t="n">
        <v>1</v>
      </c>
      <c r="O5471" s="12" t="n">
        <v>1</v>
      </c>
      <c r="P5471" s="12" t="n">
        <v>480</v>
      </c>
      <c r="Q5471" s="12" t="n">
        <v>15</v>
      </c>
      <c r="R5471" s="12" t="n">
        <v>21.2</v>
      </c>
      <c r="S5471" s="12" t="inlineStr">
        <is>
          <t>Duct bank</t>
        </is>
      </c>
      <c r="T5471" s="15" t="n">
        <v>4</v>
      </c>
      <c r="U5471" s="15" t="n">
        <v>38</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I-P-0293</t>
        </is>
      </c>
      <c r="B5472" s="12" t="inlineStr">
        <is>
          <t>I</t>
        </is>
      </c>
      <c r="C5472" s="12" t="inlineStr">
        <is>
          <t>Modular / portable power</t>
        </is>
      </c>
      <c r="D5472" s="12" t="inlineStr">
        <is>
          <t>Motor 2 of 4, 15 kW</t>
        </is>
      </c>
      <c r="E5472" s="12" t="inlineStr"/>
      <c r="F5472" s="12" t="inlineStr">
        <is>
          <t>SC-2 PCM + 15 kV GCB</t>
        </is>
      </c>
      <c r="G5472" s="12" t="inlineStr"/>
      <c r="H5472" s="12" t="inlineStr">
        <is>
          <t>SC-2 lube-oil fin-fan cooler</t>
        </is>
      </c>
      <c r="I5472" s="12" t="inlineStr">
        <is>
          <t>LV 600 V</t>
        </is>
      </c>
      <c r="J5472" s="12" t="inlineStr">
        <is>
          <t>Type TC-ER 600 V 3/C Cu XHHW-2 + ground, PVC jacket</t>
        </is>
      </c>
      <c r="K5472" s="12" t="inlineStr">
        <is>
          <t>LV|3/C+G|10</t>
        </is>
      </c>
      <c r="L5472" s="12" t="inlineStr">
        <is>
          <t>3/C+G</t>
        </is>
      </c>
      <c r="M5472" s="12" t="inlineStr">
        <is>
          <t>10</t>
        </is>
      </c>
      <c r="N5472" s="12" t="n">
        <v>1</v>
      </c>
      <c r="O5472" s="12" t="n">
        <v>1</v>
      </c>
      <c r="P5472" s="12" t="n">
        <v>480</v>
      </c>
      <c r="Q5472" s="12" t="n">
        <v>15</v>
      </c>
      <c r="R5472" s="12" t="n">
        <v>21.2</v>
      </c>
      <c r="S5472" s="12" t="inlineStr">
        <is>
          <t>Duct bank</t>
        </is>
      </c>
      <c r="T5472" s="15" t="n">
        <v>4</v>
      </c>
      <c r="U5472" s="15" t="n">
        <v>38</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I-P-0294</t>
        </is>
      </c>
      <c r="B5473" s="12" t="inlineStr">
        <is>
          <t>I</t>
        </is>
      </c>
      <c r="C5473" s="12" t="inlineStr">
        <is>
          <t>Modular / portable power</t>
        </is>
      </c>
      <c r="D5473" s="12" t="inlineStr">
        <is>
          <t>Motor 3 of 4, 15 kW</t>
        </is>
      </c>
      <c r="E5473" s="12" t="inlineStr"/>
      <c r="F5473" s="12" t="inlineStr">
        <is>
          <t>SC-2 PCM + 15 kV GCB</t>
        </is>
      </c>
      <c r="G5473" s="12" t="inlineStr"/>
      <c r="H5473" s="12" t="inlineStr">
        <is>
          <t>SC-2 lube-oil fin-fan cooler</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15</v>
      </c>
      <c r="R5473" s="12" t="n">
        <v>21.2</v>
      </c>
      <c r="S5473" s="12" t="inlineStr">
        <is>
          <t>Duct bank</t>
        </is>
      </c>
      <c r="T5473" s="15" t="n">
        <v>4</v>
      </c>
      <c r="U5473" s="15" t="n">
        <v>38</v>
      </c>
      <c r="V5473" s="15">
        <f>ROUNDUP((T5473+U5473+2*'Read Me'!$B$13)*(1+'Read Me'!$B$12),-1)</f>
        <v/>
      </c>
      <c r="W5473" s="15">
        <f>V5473*N5473*O5473</f>
        <v/>
      </c>
      <c r="X5473" s="12">
        <f>IF(LEFT(I5473,2)="MV",2*N5473*IF(L5473="1/C",O5473,1),0)</f>
        <v/>
      </c>
      <c r="Y5473" s="12">
        <f>IF(OR(LEFT(K5473,4)="LVAX",LEFT(K5473,6)="MV15AX",LEFT(K5473,4)="CTAX",LEFT(K5473,2)="W|"),2*N5473*O5473,0)</f>
        <v/>
      </c>
      <c r="Z5473" s="12" t="inlineStr">
        <is>
          <t>VD 0.4 %</t>
        </is>
      </c>
      <c r="AA5473" s="12">
        <f>N5473*O5473</f>
        <v/>
      </c>
    </row>
    <row r="5474">
      <c r="A5474" s="12" t="inlineStr">
        <is>
          <t>I-P-0295</t>
        </is>
      </c>
      <c r="B5474" s="12" t="inlineStr">
        <is>
          <t>I</t>
        </is>
      </c>
      <c r="C5474" s="12" t="inlineStr">
        <is>
          <t>Modular / portable power</t>
        </is>
      </c>
      <c r="D5474" s="12" t="inlineStr">
        <is>
          <t>Motor 4 of 4, 15 kW</t>
        </is>
      </c>
      <c r="E5474" s="12" t="inlineStr"/>
      <c r="F5474" s="12" t="inlineStr">
        <is>
          <t>SC-2 PCM + 15 kV GCB</t>
        </is>
      </c>
      <c r="G5474" s="12" t="inlineStr"/>
      <c r="H5474" s="12" t="inlineStr">
        <is>
          <t>SC-2 lube-oil fin-fan cooler</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15</v>
      </c>
      <c r="R5474" s="12" t="n">
        <v>21.2</v>
      </c>
      <c r="S5474" s="12" t="inlineStr">
        <is>
          <t>Duct bank</t>
        </is>
      </c>
      <c r="T5474" s="15" t="n">
        <v>4</v>
      </c>
      <c r="U5474" s="15" t="n">
        <v>38</v>
      </c>
      <c r="V5474" s="15">
        <f>ROUNDUP((T5474+U5474+2*'Read Me'!$B$13)*(1+'Read Me'!$B$12),-1)</f>
        <v/>
      </c>
      <c r="W5474" s="15">
        <f>V5474*N5474*O5474</f>
        <v/>
      </c>
      <c r="X5474" s="12">
        <f>IF(LEFT(I5474,2)="MV",2*N5474*IF(L5474="1/C",O5474,1),0)</f>
        <v/>
      </c>
      <c r="Y5474" s="12">
        <f>IF(OR(LEFT(K5474,4)="LVAX",LEFT(K5474,6)="MV15AX",LEFT(K5474,4)="CTAX",LEFT(K5474,2)="W|"),2*N5474*O5474,0)</f>
        <v/>
      </c>
      <c r="Z5474" s="12" t="inlineStr">
        <is>
          <t>VD 0.4 %</t>
        </is>
      </c>
      <c r="AA5474" s="12">
        <f>N5474*O5474</f>
        <v/>
      </c>
    </row>
    <row r="5475">
      <c r="A5475" s="12" t="inlineStr">
        <is>
          <t>I-P-0296</t>
        </is>
      </c>
      <c r="B5475" s="12" t="inlineStr">
        <is>
          <t>I</t>
        </is>
      </c>
      <c r="C5475" s="12" t="inlineStr">
        <is>
          <t>Modular / portable power</t>
        </is>
      </c>
      <c r="D5475" s="12" t="inlineStr">
        <is>
          <t>Area / platform lighting circuit 1 (4 fixtures)</t>
        </is>
      </c>
      <c r="E5475" s="12" t="inlineStr"/>
      <c r="F5475" s="12" t="inlineStr">
        <is>
          <t>SC-2 PCM + 15 kV GCB</t>
        </is>
      </c>
      <c r="G5475" s="12" t="inlineStr"/>
      <c r="H5475" s="12" t="inlineStr">
        <is>
          <t>SC-2 stack (80 ft)</t>
        </is>
      </c>
      <c r="I5475" s="12" t="inlineStr">
        <is>
          <t>LV 600 V</t>
        </is>
      </c>
      <c r="J5475" s="12" t="inlineStr">
        <is>
          <t>Type TC-ER 600 V 3/C Cu XHHW-2 + ground, PVC jacket</t>
        </is>
      </c>
      <c r="K5475" s="12" t="inlineStr">
        <is>
          <t>LV|3/C+G|10</t>
        </is>
      </c>
      <c r="L5475" s="12" t="inlineStr">
        <is>
          <t>3/C+G</t>
        </is>
      </c>
      <c r="M5475" s="12" t="inlineStr">
        <is>
          <t>10</t>
        </is>
      </c>
      <c r="N5475" s="12" t="n">
        <v>1</v>
      </c>
      <c r="O5475" s="12" t="n">
        <v>1</v>
      </c>
      <c r="P5475" s="12" t="n">
        <v>480</v>
      </c>
      <c r="Q5475" s="12" t="n">
        <v>3</v>
      </c>
      <c r="R5475" s="12" t="n">
        <v>5</v>
      </c>
      <c r="S5475" s="12" t="inlineStr">
        <is>
          <t>Duct bank</t>
        </is>
      </c>
      <c r="T5475" s="15" t="n">
        <v>374</v>
      </c>
      <c r="U5475" s="15" t="n">
        <v>92</v>
      </c>
      <c r="V5475" s="15">
        <f>ROUNDUP((T5475+U5475+2*'Read Me'!$B$13)*(1+'Read Me'!$B$12),-1)</f>
        <v/>
      </c>
      <c r="W5475" s="15">
        <f>V5475*N5475*O5475</f>
        <v/>
      </c>
      <c r="X5475" s="12">
        <f>IF(LEFT(I5475,2)="MV",2*N5475*IF(L5475="1/C",O5475,1),0)</f>
        <v/>
      </c>
      <c r="Y5475" s="12">
        <f>IF(OR(LEFT(K5475,4)="LVAX",LEFT(K5475,6)="MV15AX",LEFT(K5475,4)="CTAX",LEFT(K5475,2)="W|"),2*N5475*O5475,0)</f>
        <v/>
      </c>
      <c r="Z5475" s="12" t="inlineStr">
        <is>
          <t>fixture-to-fixture run included</t>
        </is>
      </c>
      <c r="AA5475" s="12">
        <f>N5475*O5475</f>
        <v/>
      </c>
    </row>
    <row r="5476">
      <c r="A5476" s="12" t="inlineStr">
        <is>
          <t>I-P-0297</t>
        </is>
      </c>
      <c r="B5476" s="12" t="inlineStr">
        <is>
          <t>I</t>
        </is>
      </c>
      <c r="C5476" s="12" t="inlineStr">
        <is>
          <t>Modular / portable power</t>
        </is>
      </c>
      <c r="D5476" s="12" t="inlineStr">
        <is>
          <t>Motor 1 of 2, 185 kW</t>
        </is>
      </c>
      <c r="E5476" s="12" t="inlineStr"/>
      <c r="F5476" s="12" t="inlineStr">
        <is>
          <t>SC-2 PCM + 15 kV GCB</t>
        </is>
      </c>
      <c r="G5476" s="12" t="inlineStr"/>
      <c r="H5476" s="12" t="inlineStr">
        <is>
          <t>SC-2 tempering-air fans (2 x 100 %)</t>
        </is>
      </c>
      <c r="I5476" s="12" t="inlineStr">
        <is>
          <t>LV 600 V</t>
        </is>
      </c>
      <c r="J5476" s="12" t="inlineStr">
        <is>
          <t>Type TC-ER 600 V 3/C Cu XHHW-2 + ground, PVC jacket</t>
        </is>
      </c>
      <c r="K5476" s="12" t="inlineStr">
        <is>
          <t>LV|3/C+G|500</t>
        </is>
      </c>
      <c r="L5476" s="12" t="inlineStr">
        <is>
          <t>3/C+G</t>
        </is>
      </c>
      <c r="M5476" s="12" t="inlineStr">
        <is>
          <t>500 kcmil</t>
        </is>
      </c>
      <c r="N5476" s="12" t="n">
        <v>1</v>
      </c>
      <c r="O5476" s="12" t="n">
        <v>1</v>
      </c>
      <c r="P5476" s="12" t="n">
        <v>480</v>
      </c>
      <c r="Q5476" s="12" t="n">
        <v>185</v>
      </c>
      <c r="R5476" s="12" t="n">
        <v>261.8</v>
      </c>
      <c r="S5476" s="12" t="inlineStr">
        <is>
          <t>Duct bank</t>
        </is>
      </c>
      <c r="T5476" s="15" t="n">
        <v>35</v>
      </c>
      <c r="U5476" s="15" t="n">
        <v>79</v>
      </c>
      <c r="V5476" s="15">
        <f>ROUNDUP((T5476+U5476+2*'Read Me'!$B$13)*(1+'Read Me'!$B$12),-1)</f>
        <v/>
      </c>
      <c r="W5476" s="15">
        <f>V5476*N5476*O5476</f>
        <v/>
      </c>
      <c r="X5476" s="12">
        <f>IF(LEFT(I5476,2)="MV",2*N5476*IF(L5476="1/C",O5476,1),0)</f>
        <v/>
      </c>
      <c r="Y5476" s="12">
        <f>IF(OR(LEFT(K5476,4)="LVAX",LEFT(K5476,6)="MV15AX",LEFT(K5476,4)="CTAX",LEFT(K5476,2)="W|"),2*N5476*O5476,0)</f>
        <v/>
      </c>
      <c r="Z5476" s="12" t="inlineStr">
        <is>
          <t>VD 0.3 %</t>
        </is>
      </c>
      <c r="AA5476" s="12">
        <f>N5476*O5476</f>
        <v/>
      </c>
    </row>
    <row r="5477">
      <c r="A5477" s="12" t="inlineStr">
        <is>
          <t>I-P-0298</t>
        </is>
      </c>
      <c r="B5477" s="12" t="inlineStr">
        <is>
          <t>I</t>
        </is>
      </c>
      <c r="C5477" s="12" t="inlineStr">
        <is>
          <t>Modular / portable power</t>
        </is>
      </c>
      <c r="D5477" s="12" t="inlineStr">
        <is>
          <t>Motor 2 of 2, 185 kW</t>
        </is>
      </c>
      <c r="E5477" s="12" t="inlineStr"/>
      <c r="F5477" s="12" t="inlineStr">
        <is>
          <t>SC-2 PCM + 15 kV GCB</t>
        </is>
      </c>
      <c r="G5477" s="12" t="inlineStr"/>
      <c r="H5477" s="12" t="inlineStr">
        <is>
          <t>SC-2 tempering-air fans (2 x 100 %)</t>
        </is>
      </c>
      <c r="I5477" s="12" t="inlineStr">
        <is>
          <t>LV 600 V</t>
        </is>
      </c>
      <c r="J5477" s="12" t="inlineStr">
        <is>
          <t>Type TC-ER 600 V 3/C Cu XHHW-2 + ground, PVC jacket</t>
        </is>
      </c>
      <c r="K5477" s="12" t="inlineStr">
        <is>
          <t>LV|3/C+G|500</t>
        </is>
      </c>
      <c r="L5477" s="12" t="inlineStr">
        <is>
          <t>3/C+G</t>
        </is>
      </c>
      <c r="M5477" s="12" t="inlineStr">
        <is>
          <t>500 kcmil</t>
        </is>
      </c>
      <c r="N5477" s="12" t="n">
        <v>1</v>
      </c>
      <c r="O5477" s="12" t="n">
        <v>1</v>
      </c>
      <c r="P5477" s="12" t="n">
        <v>480</v>
      </c>
      <c r="Q5477" s="12" t="n">
        <v>185</v>
      </c>
      <c r="R5477" s="12" t="n">
        <v>261.8</v>
      </c>
      <c r="S5477" s="12" t="inlineStr">
        <is>
          <t>Duct bank</t>
        </is>
      </c>
      <c r="T5477" s="15" t="n">
        <v>35</v>
      </c>
      <c r="U5477" s="15" t="n">
        <v>79</v>
      </c>
      <c r="V5477" s="15">
        <f>ROUNDUP((T5477+U5477+2*'Read Me'!$B$13)*(1+'Read Me'!$B$12),-1)</f>
        <v/>
      </c>
      <c r="W5477" s="15">
        <f>V5477*N5477*O5477</f>
        <v/>
      </c>
      <c r="X5477" s="12">
        <f>IF(LEFT(I5477,2)="MV",2*N5477*IF(L5477="1/C",O5477,1),0)</f>
        <v/>
      </c>
      <c r="Y5477" s="12">
        <f>IF(OR(LEFT(K5477,4)="LVAX",LEFT(K5477,6)="MV15AX",LEFT(K5477,4)="CTAX",LEFT(K5477,2)="W|"),2*N5477*O5477,0)</f>
        <v/>
      </c>
      <c r="Z5477" s="12" t="inlineStr">
        <is>
          <t>VD 0.3 %</t>
        </is>
      </c>
      <c r="AA5477" s="12">
        <f>N5477*O5477</f>
        <v/>
      </c>
    </row>
    <row r="5478">
      <c r="A5478" s="12" t="inlineStr">
        <is>
          <t>I-P-0299</t>
        </is>
      </c>
      <c r="B5478" s="12" t="inlineStr">
        <is>
          <t>I</t>
        </is>
      </c>
      <c r="C5478" s="12" t="inlineStr">
        <is>
          <t>Modular / portable power</t>
        </is>
      </c>
      <c r="D5478" s="12" t="inlineStr">
        <is>
          <t>Area / platform lighting circuit 1 (4 fixtures)</t>
        </is>
      </c>
      <c r="E5478" s="12" t="inlineStr"/>
      <c r="F5478" s="12" t="inlineStr">
        <is>
          <t>SC-2 PCM + 15 kV GCB</t>
        </is>
      </c>
      <c r="G5478" s="12" t="inlineStr"/>
      <c r="H5478" s="12" t="inlineStr">
        <is>
          <t>SC-2 tempering-air fans (2 x 100 %)</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3</v>
      </c>
      <c r="R5478" s="12" t="n">
        <v>5</v>
      </c>
      <c r="S5478" s="12" t="inlineStr">
        <is>
          <t>Duct bank</t>
        </is>
      </c>
      <c r="T5478" s="15" t="n">
        <v>335</v>
      </c>
      <c r="U5478" s="15" t="n">
        <v>79</v>
      </c>
      <c r="V5478" s="15">
        <f>ROUNDUP((T5478+U5478+2*'Read Me'!$B$13)*(1+'Read Me'!$B$12),-1)</f>
        <v/>
      </c>
      <c r="W5478" s="15">
        <f>V5478*N5478*O5478</f>
        <v/>
      </c>
      <c r="X5478" s="12">
        <f>IF(LEFT(I5478,2)="MV",2*N5478*IF(L5478="1/C",O5478,1),0)</f>
        <v/>
      </c>
      <c r="Y5478" s="12">
        <f>IF(OR(LEFT(K5478,4)="LVAX",LEFT(K5478,6)="MV15AX",LEFT(K5478,4)="CTAX",LEFT(K5478,2)="W|"),2*N5478*O5478,0)</f>
        <v/>
      </c>
      <c r="Z5478" s="12" t="inlineStr">
        <is>
          <t>fixture-to-fixture run included</t>
        </is>
      </c>
      <c r="AA5478" s="12">
        <f>N5478*O5478</f>
        <v/>
      </c>
    </row>
    <row r="5479">
      <c r="A5479" s="12" t="inlineStr">
        <is>
          <t>I-P-0300</t>
        </is>
      </c>
      <c r="B5479" s="12" t="inlineStr">
        <is>
          <t>I</t>
        </is>
      </c>
      <c r="C5479" s="12" t="inlineStr">
        <is>
          <t>Modular / portable power</t>
        </is>
      </c>
      <c r="D5479" s="12" t="inlineStr">
        <is>
          <t>SC-2 emergency DC lube-oil pump (125 V DC, coast-down)</t>
        </is>
      </c>
      <c r="E5479" s="12" t="inlineStr"/>
      <c r="F5479" s="12" t="inlineStr">
        <is>
          <t>SC-2 PCM + 15 kV GCB</t>
        </is>
      </c>
      <c r="G5479" s="12" t="inlineStr">
        <is>
          <t>SC-2</t>
        </is>
      </c>
      <c r="H5479" s="12" t="inlineStr">
        <is>
          <t>SC-2: aeroderivative simple-cycle unit (50 MW class)</t>
        </is>
      </c>
      <c r="I5479" s="12" t="inlineStr">
        <is>
          <t>LV 600 V</t>
        </is>
      </c>
      <c r="J5479" s="12" t="inlineStr">
        <is>
          <t>XHHW-2 600 V 1/C Cu (feeder sets in tray / duct)</t>
        </is>
      </c>
      <c r="K5479" s="12" t="inlineStr">
        <is>
          <t>LV1C|1/C|2</t>
        </is>
      </c>
      <c r="L5479" s="12" t="inlineStr">
        <is>
          <t>1/C</t>
        </is>
      </c>
      <c r="M5479" s="12" t="inlineStr">
        <is>
          <t>2</t>
        </is>
      </c>
      <c r="N5479" s="12" t="n">
        <v>1</v>
      </c>
      <c r="O5479" s="12" t="n">
        <v>2</v>
      </c>
      <c r="P5479" s="12" t="n">
        <v>125</v>
      </c>
      <c r="Q5479" s="12" t="n">
        <v>7.5</v>
      </c>
      <c r="R5479" s="12" t="n">
        <v>65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Aeroderivative: DC pump keeps the bearings fed on loss of AC</t>
        </is>
      </c>
      <c r="AA5479" s="12">
        <f>N5479*O5479</f>
        <v/>
      </c>
    </row>
    <row r="5480">
      <c r="A5480" s="12" t="inlineStr">
        <is>
          <t>I-P-0301</t>
        </is>
      </c>
      <c r="B5480" s="12" t="inlineStr">
        <is>
          <t>I</t>
        </is>
      </c>
      <c r="C5480" s="12" t="inlineStr">
        <is>
          <t>Modular / portable power</t>
        </is>
      </c>
      <c r="D5480" s="12" t="inlineStr">
        <is>
          <t>SC-2 120 V AC UPS to the unit control and protection</t>
        </is>
      </c>
      <c r="E5480" s="12" t="inlineStr"/>
      <c r="F5480" s="12" t="inlineStr">
        <is>
          <t>SC-2 PCM + 15 kV GCB</t>
        </is>
      </c>
      <c r="G5480" s="12" t="inlineStr">
        <is>
          <t>SC-2</t>
        </is>
      </c>
      <c r="H5480" s="12" t="inlineStr">
        <is>
          <t>SC-2: aeroderivative simple-cycle unit (50 MW class)</t>
        </is>
      </c>
      <c r="I5480" s="12" t="inlineStr">
        <is>
          <t>LV 600 V</t>
        </is>
      </c>
      <c r="J5480" s="12" t="inlineStr">
        <is>
          <t>XHHW-2 600 V 1/C Cu (feeder sets in tray / duct)</t>
        </is>
      </c>
      <c r="K5480" s="12" t="inlineStr">
        <is>
          <t>LV1C|1/C|6</t>
        </is>
      </c>
      <c r="L5480" s="12" t="inlineStr">
        <is>
          <t>1/C</t>
        </is>
      </c>
      <c r="M5480" s="12" t="inlineStr">
        <is>
          <t>6</t>
        </is>
      </c>
      <c r="N5480" s="12" t="n">
        <v>1</v>
      </c>
      <c r="O5480" s="12" t="n">
        <v>2</v>
      </c>
      <c r="P5480" s="12" t="n">
        <v>120</v>
      </c>
      <c r="Q5480" s="12" t="n">
        <v>5</v>
      </c>
      <c r="R5480" s="12" t="n"/>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c r="AA5480" s="12">
        <f>N5480*O5480</f>
        <v/>
      </c>
    </row>
    <row r="5481">
      <c r="A5481" s="12" t="inlineStr">
        <is>
          <t>I-P-0302</t>
        </is>
      </c>
      <c r="B5481" s="12" t="inlineStr">
        <is>
          <t>I</t>
        </is>
      </c>
      <c r="C5481" s="12" t="inlineStr">
        <is>
          <t>Modular / portable power</t>
        </is>
      </c>
      <c r="D5481" s="12" t="inlineStr">
        <is>
          <t>SC-2 hydraulic starter pump motor (start sequence only)</t>
        </is>
      </c>
      <c r="E5481" s="12" t="inlineStr"/>
      <c r="F5481" s="12" t="inlineStr">
        <is>
          <t>SC-2 PCM + 15 kV GCB</t>
        </is>
      </c>
      <c r="G5481" s="12" t="inlineStr">
        <is>
          <t>SC-2</t>
        </is>
      </c>
      <c r="H5481" s="12" t="inlineStr">
        <is>
          <t>SC-2: aeroderivative simple-cycle unit (50 MW class)</t>
        </is>
      </c>
      <c r="I5481" s="12" t="inlineStr">
        <is>
          <t>LV 600 V</t>
        </is>
      </c>
      <c r="J5481" s="12" t="inlineStr">
        <is>
          <t>Type TC-ER 600 V 3/C Cu XHHW-2 + ground, PVC jacket</t>
        </is>
      </c>
      <c r="K5481" s="12" t="inlineStr">
        <is>
          <t>LV|3/C+G|3/0</t>
        </is>
      </c>
      <c r="L5481" s="12" t="inlineStr">
        <is>
          <t>3/C+G</t>
        </is>
      </c>
      <c r="M5481" s="12" t="inlineStr">
        <is>
          <t>3/0</t>
        </is>
      </c>
      <c r="N5481" s="12" t="n">
        <v>2</v>
      </c>
      <c r="O5481" s="12" t="n">
        <v>1</v>
      </c>
      <c r="P5481" s="12" t="n">
        <v>480</v>
      </c>
      <c r="Q5481" s="12" t="n">
        <v>225</v>
      </c>
      <c r="R5481" s="12" t="n">
        <v>318.4</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typical aeroderivative hydraulic start; verify starter type / rating with the OEM</t>
        </is>
      </c>
      <c r="AA5481" s="12">
        <f>N5481*O5481</f>
        <v/>
      </c>
    </row>
    <row r="5482">
      <c r="A5482" s="12" t="inlineStr">
        <is>
          <t>I-P-0303</t>
        </is>
      </c>
      <c r="B5482" s="12" t="inlineStr">
        <is>
          <t>I</t>
        </is>
      </c>
      <c r="C5482" s="12" t="inlineStr">
        <is>
          <t>Modular / portable power</t>
        </is>
      </c>
      <c r="D5482" s="12" t="inlineStr">
        <is>
          <t>SC-2 480 V welding receptacle 1</t>
        </is>
      </c>
      <c r="E5482" s="12" t="inlineStr"/>
      <c r="F5482" s="12" t="inlineStr">
        <is>
          <t>SC-2 PCM + 15 kV GCB</t>
        </is>
      </c>
      <c r="G5482" s="12" t="inlineStr">
        <is>
          <t>SC-2</t>
        </is>
      </c>
      <c r="H5482" s="12" t="inlineStr">
        <is>
          <t>SC-2: aeroderivative simple-cycle unit (50 MW class)</t>
        </is>
      </c>
      <c r="I5482" s="12" t="inlineStr">
        <is>
          <t>LV 600 V</t>
        </is>
      </c>
      <c r="J5482" s="12" t="inlineStr">
        <is>
          <t>Type TC-ER 600 V 3/C Cu XHHW-2 + ground, PVC jacket</t>
        </is>
      </c>
      <c r="K5482" s="12" t="inlineStr">
        <is>
          <t>LV|3/C+G|2</t>
        </is>
      </c>
      <c r="L5482" s="12" t="inlineStr">
        <is>
          <t>3/C+G</t>
        </is>
      </c>
      <c r="M5482" s="12" t="inlineStr">
        <is>
          <t>2</t>
        </is>
      </c>
      <c r="N5482" s="12" t="n">
        <v>1</v>
      </c>
      <c r="O5482" s="12" t="n">
        <v>1</v>
      </c>
      <c r="P5482" s="12" t="n">
        <v>480</v>
      </c>
      <c r="Q5482" s="12" t="n">
        <v>60</v>
      </c>
      <c r="R5482" s="12" t="n">
        <v>76</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0.4 %</t>
        </is>
      </c>
      <c r="AA5482" s="12">
        <f>N5482*O5482</f>
        <v/>
      </c>
    </row>
    <row r="5483">
      <c r="A5483" s="12" t="inlineStr">
        <is>
          <t>I-P-0304</t>
        </is>
      </c>
      <c r="B5483" s="12" t="inlineStr">
        <is>
          <t>I</t>
        </is>
      </c>
      <c r="C5483" s="12" t="inlineStr">
        <is>
          <t>Modular / portable power</t>
        </is>
      </c>
      <c r="D5483" s="12" t="inlineStr">
        <is>
          <t>SC-2 480 V welding receptacle 2</t>
        </is>
      </c>
      <c r="E5483" s="12" t="inlineStr"/>
      <c r="F5483" s="12" t="inlineStr">
        <is>
          <t>SC-2 PCM + 15 kV GCB</t>
        </is>
      </c>
      <c r="G5483" s="12" t="inlineStr">
        <is>
          <t>SC-2</t>
        </is>
      </c>
      <c r="H5483" s="12" t="inlineStr">
        <is>
          <t>SC-2: aeroderivative simple-cycle unit (50 MW class)</t>
        </is>
      </c>
      <c r="I5483" s="12" t="inlineStr">
        <is>
          <t>LV 600 V</t>
        </is>
      </c>
      <c r="J5483" s="12" t="inlineStr">
        <is>
          <t>Type TC-ER 600 V 3/C Cu XHHW-2 + ground, PVC jacket</t>
        </is>
      </c>
      <c r="K5483" s="12" t="inlineStr">
        <is>
          <t>LV|3/C+G|2</t>
        </is>
      </c>
      <c r="L5483" s="12" t="inlineStr">
        <is>
          <t>3/C+G</t>
        </is>
      </c>
      <c r="M5483" s="12" t="inlineStr">
        <is>
          <t>2</t>
        </is>
      </c>
      <c r="N5483" s="12" t="n">
        <v>1</v>
      </c>
      <c r="O5483" s="12" t="n">
        <v>1</v>
      </c>
      <c r="P5483" s="12" t="n">
        <v>480</v>
      </c>
      <c r="Q5483" s="12" t="n">
        <v>60</v>
      </c>
      <c r="R5483" s="12" t="n">
        <v>76</v>
      </c>
      <c r="S5483" s="12" t="inlineStr">
        <is>
          <t>Duct bank</t>
        </is>
      </c>
      <c r="T5483" s="15" t="n">
        <v>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VD 0.4 %</t>
        </is>
      </c>
      <c r="AA5483" s="12">
        <f>N5483*O5483</f>
        <v/>
      </c>
    </row>
    <row r="5484">
      <c r="A5484" s="12" t="inlineStr">
        <is>
          <t>I-P-0305</t>
        </is>
      </c>
      <c r="B5484" s="12" t="inlineStr">
        <is>
          <t>I</t>
        </is>
      </c>
      <c r="C5484" s="12" t="inlineStr">
        <is>
          <t>Modular / portable power</t>
        </is>
      </c>
      <c r="D5484" s="12" t="inlineStr">
        <is>
          <t>Motor 1 of 10, 30 kW</t>
        </is>
      </c>
      <c r="E5484" s="12" t="inlineStr"/>
      <c r="F5484" s="12" t="inlineStr">
        <is>
          <t>SC-2 PCM + 15 kV GCB</t>
        </is>
      </c>
      <c r="G5484" s="12" t="inlineStr">
        <is>
          <t>SC-2</t>
        </is>
      </c>
      <c r="H5484" s="12" t="inlineStr">
        <is>
          <t>SC-2: aeroderivative simple-cycle unit (50 MW class)</t>
        </is>
      </c>
      <c r="I5484" s="12" t="inlineStr">
        <is>
          <t>LV 600 V</t>
        </is>
      </c>
      <c r="J5484" s="12" t="inlineStr">
        <is>
          <t>Type TC-ER 600 V 3/C Cu XHHW-2 + ground, PVC jacket</t>
        </is>
      </c>
      <c r="K5484" s="12" t="inlineStr">
        <is>
          <t>LV|3/C+G|6</t>
        </is>
      </c>
      <c r="L5484" s="12" t="inlineStr">
        <is>
          <t>3/C+G</t>
        </is>
      </c>
      <c r="M5484" s="12" t="inlineStr">
        <is>
          <t>6</t>
        </is>
      </c>
      <c r="N5484" s="12" t="n">
        <v>1</v>
      </c>
      <c r="O5484" s="12" t="n">
        <v>1</v>
      </c>
      <c r="P5484" s="12" t="n">
        <v>480</v>
      </c>
      <c r="Q5484" s="12" t="n">
        <v>30</v>
      </c>
      <c r="R5484" s="12" t="n">
        <v>42.5</v>
      </c>
      <c r="S5484" s="12" t="inlineStr">
        <is>
          <t>Duct bank</t>
        </is>
      </c>
      <c r="T5484" s="15" t="n">
        <v>35</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is>
          <t>VD 0.6 %</t>
        </is>
      </c>
      <c r="AA5484" s="12">
        <f>N5484*O5484</f>
        <v/>
      </c>
    </row>
    <row r="5485">
      <c r="A5485" s="12" t="inlineStr">
        <is>
          <t>I-P-0306</t>
        </is>
      </c>
      <c r="B5485" s="12" t="inlineStr">
        <is>
          <t>I</t>
        </is>
      </c>
      <c r="C5485" s="12" t="inlineStr">
        <is>
          <t>Modular / portable power</t>
        </is>
      </c>
      <c r="D5485" s="12" t="inlineStr">
        <is>
          <t>Motor 2 of 10, 30 kW</t>
        </is>
      </c>
      <c r="E5485" s="12" t="inlineStr"/>
      <c r="F5485" s="12" t="inlineStr">
        <is>
          <t>SC-2 PCM + 15 kV GCB</t>
        </is>
      </c>
      <c r="G5485" s="12" t="inlineStr">
        <is>
          <t>SC-2</t>
        </is>
      </c>
      <c r="H5485" s="12" t="inlineStr">
        <is>
          <t>SC-2: aeroderivative simple-cycle unit (50 MW class)</t>
        </is>
      </c>
      <c r="I5485" s="12" t="inlineStr">
        <is>
          <t>LV 600 V</t>
        </is>
      </c>
      <c r="J5485" s="12" t="inlineStr">
        <is>
          <t>Type TC-ER 600 V 3/C Cu XHHW-2 + ground, PVC jacket</t>
        </is>
      </c>
      <c r="K5485" s="12" t="inlineStr">
        <is>
          <t>LV|3/C+G|6</t>
        </is>
      </c>
      <c r="L5485" s="12" t="inlineStr">
        <is>
          <t>3/C+G</t>
        </is>
      </c>
      <c r="M5485" s="12" t="inlineStr">
        <is>
          <t>6</t>
        </is>
      </c>
      <c r="N5485" s="12" t="n">
        <v>1</v>
      </c>
      <c r="O5485" s="12" t="n">
        <v>1</v>
      </c>
      <c r="P5485" s="12" t="n">
        <v>480</v>
      </c>
      <c r="Q5485" s="12" t="n">
        <v>30</v>
      </c>
      <c r="R5485" s="12" t="n">
        <v>42.5</v>
      </c>
      <c r="S5485" s="12" t="inlineStr">
        <is>
          <t>Duct bank</t>
        </is>
      </c>
      <c r="T5485" s="15" t="n">
        <v>35</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VD 0.6 %</t>
        </is>
      </c>
      <c r="AA5485" s="12">
        <f>N5485*O5485</f>
        <v/>
      </c>
    </row>
    <row r="5486">
      <c r="A5486" s="12" t="inlineStr">
        <is>
          <t>I-P-0307</t>
        </is>
      </c>
      <c r="B5486" s="12" t="inlineStr">
        <is>
          <t>I</t>
        </is>
      </c>
      <c r="C5486" s="12" t="inlineStr">
        <is>
          <t>Modular / portable power</t>
        </is>
      </c>
      <c r="D5486" s="12" t="inlineStr">
        <is>
          <t>Motor 3 of 10, 30 kW</t>
        </is>
      </c>
      <c r="E5486" s="12" t="inlineStr"/>
      <c r="F5486" s="12" t="inlineStr">
        <is>
          <t>SC-2 PCM + 15 kV GCB</t>
        </is>
      </c>
      <c r="G5486" s="12" t="inlineStr">
        <is>
          <t>SC-2</t>
        </is>
      </c>
      <c r="H5486" s="12" t="inlineStr">
        <is>
          <t>SC-2: aeroderivative simple-cycle unit (50 MW class)</t>
        </is>
      </c>
      <c r="I5486" s="12" t="inlineStr">
        <is>
          <t>LV 600 V</t>
        </is>
      </c>
      <c r="J5486" s="12" t="inlineStr">
        <is>
          <t>Type TC-ER 600 V 3/C Cu XHHW-2 + ground, PVC jacket</t>
        </is>
      </c>
      <c r="K5486" s="12" t="inlineStr">
        <is>
          <t>LV|3/C+G|6</t>
        </is>
      </c>
      <c r="L5486" s="12" t="inlineStr">
        <is>
          <t>3/C+G</t>
        </is>
      </c>
      <c r="M5486" s="12" t="inlineStr">
        <is>
          <t>6</t>
        </is>
      </c>
      <c r="N5486" s="12" t="n">
        <v>1</v>
      </c>
      <c r="O5486" s="12" t="n">
        <v>1</v>
      </c>
      <c r="P5486" s="12" t="n">
        <v>480</v>
      </c>
      <c r="Q5486" s="12" t="n">
        <v>30</v>
      </c>
      <c r="R5486" s="12" t="n">
        <v>42.5</v>
      </c>
      <c r="S5486" s="12" t="inlineStr">
        <is>
          <t>Duct bank</t>
        </is>
      </c>
      <c r="T5486" s="15" t="n">
        <v>35</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VD 0.6 %</t>
        </is>
      </c>
      <c r="AA5486" s="12">
        <f>N5486*O5486</f>
        <v/>
      </c>
    </row>
    <row r="5487">
      <c r="A5487" s="12" t="inlineStr">
        <is>
          <t>I-P-0308</t>
        </is>
      </c>
      <c r="B5487" s="12" t="inlineStr">
        <is>
          <t>I</t>
        </is>
      </c>
      <c r="C5487" s="12" t="inlineStr">
        <is>
          <t>Modular / portable power</t>
        </is>
      </c>
      <c r="D5487" s="12" t="inlineStr">
        <is>
          <t>Motor 4 of 10, 30 kW</t>
        </is>
      </c>
      <c r="E5487" s="12" t="inlineStr"/>
      <c r="F5487" s="12" t="inlineStr">
        <is>
          <t>SC-2 PCM + 15 kV GCB</t>
        </is>
      </c>
      <c r="G5487" s="12" t="inlineStr">
        <is>
          <t>SC-2</t>
        </is>
      </c>
      <c r="H5487" s="12" t="inlineStr">
        <is>
          <t>SC-2: aeroderivative simple-cycle unit (50 MW class)</t>
        </is>
      </c>
      <c r="I5487" s="12" t="inlineStr">
        <is>
          <t>LV 600 V</t>
        </is>
      </c>
      <c r="J5487" s="12" t="inlineStr">
        <is>
          <t>Type TC-ER 600 V 3/C Cu XHHW-2 + ground, PVC jacket</t>
        </is>
      </c>
      <c r="K5487" s="12" t="inlineStr">
        <is>
          <t>LV|3/C+G|6</t>
        </is>
      </c>
      <c r="L5487" s="12" t="inlineStr">
        <is>
          <t>3/C+G</t>
        </is>
      </c>
      <c r="M5487" s="12" t="inlineStr">
        <is>
          <t>6</t>
        </is>
      </c>
      <c r="N5487" s="12" t="n">
        <v>1</v>
      </c>
      <c r="O5487" s="12" t="n">
        <v>1</v>
      </c>
      <c r="P5487" s="12" t="n">
        <v>480</v>
      </c>
      <c r="Q5487" s="12" t="n">
        <v>30</v>
      </c>
      <c r="R5487" s="12" t="n">
        <v>42.5</v>
      </c>
      <c r="S5487" s="12" t="inlineStr">
        <is>
          <t>Duct bank</t>
        </is>
      </c>
      <c r="T5487" s="15" t="n">
        <v>35</v>
      </c>
      <c r="U5487" s="15" t="n">
        <v>32</v>
      </c>
      <c r="V5487" s="15">
        <f>ROUNDUP((T5487+U5487+2*'Read Me'!$B$13)*(1+'Read Me'!$B$12),-1)</f>
        <v/>
      </c>
      <c r="W5487" s="15">
        <f>V5487*N5487*O5487</f>
        <v/>
      </c>
      <c r="X5487" s="12">
        <f>IF(LEFT(I5487,2)="MV",2*N5487*IF(L5487="1/C",O5487,1),0)</f>
        <v/>
      </c>
      <c r="Y5487" s="12">
        <f>IF(OR(LEFT(K5487,4)="LVAX",LEFT(K5487,6)="MV15AX",LEFT(K5487,4)="CTAX",LEFT(K5487,2)="W|"),2*N5487*O5487,0)</f>
        <v/>
      </c>
      <c r="Z5487" s="12" t="inlineStr">
        <is>
          <t>VD 0.6 %</t>
        </is>
      </c>
      <c r="AA5487" s="12">
        <f>N5487*O5487</f>
        <v/>
      </c>
    </row>
    <row r="5488">
      <c r="A5488" s="12" t="inlineStr">
        <is>
          <t>I-P-0309</t>
        </is>
      </c>
      <c r="B5488" s="12" t="inlineStr">
        <is>
          <t>I</t>
        </is>
      </c>
      <c r="C5488" s="12" t="inlineStr">
        <is>
          <t>Modular / portable power</t>
        </is>
      </c>
      <c r="D5488" s="12" t="inlineStr">
        <is>
          <t>Motor 5 of 10, 30 kW</t>
        </is>
      </c>
      <c r="E5488" s="12" t="inlineStr"/>
      <c r="F5488" s="12" t="inlineStr">
        <is>
          <t>SC-2 PCM + 15 kV GCB</t>
        </is>
      </c>
      <c r="G5488" s="12" t="inlineStr">
        <is>
          <t>SC-2</t>
        </is>
      </c>
      <c r="H5488" s="12" t="inlineStr">
        <is>
          <t>SC-2: aeroderivative simple-cycle unit (50 MW class)</t>
        </is>
      </c>
      <c r="I5488" s="12" t="inlineStr">
        <is>
          <t>LV 600 V</t>
        </is>
      </c>
      <c r="J5488" s="12" t="inlineStr">
        <is>
          <t>Type TC-ER 600 V 3/C Cu XHHW-2 + ground, PVC jacket</t>
        </is>
      </c>
      <c r="K5488" s="12" t="inlineStr">
        <is>
          <t>LV|3/C+G|6</t>
        </is>
      </c>
      <c r="L5488" s="12" t="inlineStr">
        <is>
          <t>3/C+G</t>
        </is>
      </c>
      <c r="M5488" s="12" t="inlineStr">
        <is>
          <t>6</t>
        </is>
      </c>
      <c r="N5488" s="12" t="n">
        <v>1</v>
      </c>
      <c r="O5488" s="12" t="n">
        <v>1</v>
      </c>
      <c r="P5488" s="12" t="n">
        <v>480</v>
      </c>
      <c r="Q5488" s="12" t="n">
        <v>30</v>
      </c>
      <c r="R5488" s="12" t="n">
        <v>42.5</v>
      </c>
      <c r="S5488" s="12" t="inlineStr">
        <is>
          <t>Duct bank</t>
        </is>
      </c>
      <c r="T5488" s="15" t="n">
        <v>35</v>
      </c>
      <c r="U5488" s="15" t="n">
        <v>32</v>
      </c>
      <c r="V5488" s="15">
        <f>ROUNDUP((T5488+U5488+2*'Read Me'!$B$13)*(1+'Read Me'!$B$12),-1)</f>
        <v/>
      </c>
      <c r="W5488" s="15">
        <f>V5488*N5488*O5488</f>
        <v/>
      </c>
      <c r="X5488" s="12">
        <f>IF(LEFT(I5488,2)="MV",2*N5488*IF(L5488="1/C",O5488,1),0)</f>
        <v/>
      </c>
      <c r="Y5488" s="12">
        <f>IF(OR(LEFT(K5488,4)="LVAX",LEFT(K5488,6)="MV15AX",LEFT(K5488,4)="CTAX",LEFT(K5488,2)="W|"),2*N5488*O5488,0)</f>
        <v/>
      </c>
      <c r="Z5488" s="12" t="inlineStr">
        <is>
          <t>VD 0.6 %</t>
        </is>
      </c>
      <c r="AA5488" s="12">
        <f>N5488*O5488</f>
        <v/>
      </c>
    </row>
    <row r="5489">
      <c r="A5489" s="12" t="inlineStr">
        <is>
          <t>I-P-0310</t>
        </is>
      </c>
      <c r="B5489" s="12" t="inlineStr">
        <is>
          <t>I</t>
        </is>
      </c>
      <c r="C5489" s="12" t="inlineStr">
        <is>
          <t>Modular / portable power</t>
        </is>
      </c>
      <c r="D5489" s="12" t="inlineStr">
        <is>
          <t>Motor 6 of 10, 30 kW</t>
        </is>
      </c>
      <c r="E5489" s="12" t="inlineStr"/>
      <c r="F5489" s="12" t="inlineStr">
        <is>
          <t>SC-2 PCM + 15 kV GCB</t>
        </is>
      </c>
      <c r="G5489" s="12" t="inlineStr">
        <is>
          <t>SC-2</t>
        </is>
      </c>
      <c r="H5489" s="12" t="inlineStr">
        <is>
          <t>SC-2: aeroderivative simple-cycle unit (50 MW class)</t>
        </is>
      </c>
      <c r="I5489" s="12" t="inlineStr">
        <is>
          <t>LV 600 V</t>
        </is>
      </c>
      <c r="J5489" s="12" t="inlineStr">
        <is>
          <t>Type TC-ER 600 V 3/C Cu XHHW-2 + ground, PVC jacket</t>
        </is>
      </c>
      <c r="K5489" s="12" t="inlineStr">
        <is>
          <t>LV|3/C+G|6</t>
        </is>
      </c>
      <c r="L5489" s="12" t="inlineStr">
        <is>
          <t>3/C+G</t>
        </is>
      </c>
      <c r="M5489" s="12" t="inlineStr">
        <is>
          <t>6</t>
        </is>
      </c>
      <c r="N5489" s="12" t="n">
        <v>1</v>
      </c>
      <c r="O5489" s="12" t="n">
        <v>1</v>
      </c>
      <c r="P5489" s="12" t="n">
        <v>480</v>
      </c>
      <c r="Q5489" s="12" t="n">
        <v>30</v>
      </c>
      <c r="R5489" s="12" t="n">
        <v>42.5</v>
      </c>
      <c r="S5489" s="12" t="inlineStr">
        <is>
          <t>Duct bank</t>
        </is>
      </c>
      <c r="T5489" s="15" t="n">
        <v>35</v>
      </c>
      <c r="U5489" s="15" t="n">
        <v>32</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I-P-0311</t>
        </is>
      </c>
      <c r="B5490" s="12" t="inlineStr">
        <is>
          <t>I</t>
        </is>
      </c>
      <c r="C5490" s="12" t="inlineStr">
        <is>
          <t>Modular / portable power</t>
        </is>
      </c>
      <c r="D5490" s="12" t="inlineStr">
        <is>
          <t>Motor 7 of 10, 30 kW</t>
        </is>
      </c>
      <c r="E5490" s="12" t="inlineStr"/>
      <c r="F5490" s="12" t="inlineStr">
        <is>
          <t>SC-2 PCM + 15 kV GCB</t>
        </is>
      </c>
      <c r="G5490" s="12" t="inlineStr">
        <is>
          <t>SC-2</t>
        </is>
      </c>
      <c r="H5490" s="12" t="inlineStr">
        <is>
          <t>SC-2: aeroderivative simple-cycle unit (50 MW class)</t>
        </is>
      </c>
      <c r="I5490" s="12" t="inlineStr">
        <is>
          <t>LV 600 V</t>
        </is>
      </c>
      <c r="J5490" s="12" t="inlineStr">
        <is>
          <t>Type TC-ER 600 V 3/C Cu XHHW-2 + ground, PVC jacket</t>
        </is>
      </c>
      <c r="K5490" s="12" t="inlineStr">
        <is>
          <t>LV|3/C+G|6</t>
        </is>
      </c>
      <c r="L5490" s="12" t="inlineStr">
        <is>
          <t>3/C+G</t>
        </is>
      </c>
      <c r="M5490" s="12" t="inlineStr">
        <is>
          <t>6</t>
        </is>
      </c>
      <c r="N5490" s="12" t="n">
        <v>1</v>
      </c>
      <c r="O5490" s="12" t="n">
        <v>1</v>
      </c>
      <c r="P5490" s="12" t="n">
        <v>480</v>
      </c>
      <c r="Q5490" s="12" t="n">
        <v>30</v>
      </c>
      <c r="R5490" s="12" t="n">
        <v>42.5</v>
      </c>
      <c r="S5490" s="12" t="inlineStr">
        <is>
          <t>Duct bank</t>
        </is>
      </c>
      <c r="T5490" s="15" t="n">
        <v>35</v>
      </c>
      <c r="U5490" s="15" t="n">
        <v>32</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I-P-0312</t>
        </is>
      </c>
      <c r="B5491" s="12" t="inlineStr">
        <is>
          <t>I</t>
        </is>
      </c>
      <c r="C5491" s="12" t="inlineStr">
        <is>
          <t>Modular / portable power</t>
        </is>
      </c>
      <c r="D5491" s="12" t="inlineStr">
        <is>
          <t>Motor 8 of 10, 30 kW</t>
        </is>
      </c>
      <c r="E5491" s="12" t="inlineStr"/>
      <c r="F5491" s="12" t="inlineStr">
        <is>
          <t>SC-2 PCM + 15 kV GCB</t>
        </is>
      </c>
      <c r="G5491" s="12" t="inlineStr">
        <is>
          <t>SC-2</t>
        </is>
      </c>
      <c r="H5491" s="12" t="inlineStr">
        <is>
          <t>SC-2: aeroderivative simple-cycle unit (50 MW class)</t>
        </is>
      </c>
      <c r="I5491" s="12" t="inlineStr">
        <is>
          <t>LV 600 V</t>
        </is>
      </c>
      <c r="J5491" s="12" t="inlineStr">
        <is>
          <t>Type TC-ER 600 V 3/C Cu XHHW-2 + ground, PVC jacket</t>
        </is>
      </c>
      <c r="K5491" s="12" t="inlineStr">
        <is>
          <t>LV|3/C+G|6</t>
        </is>
      </c>
      <c r="L5491" s="12" t="inlineStr">
        <is>
          <t>3/C+G</t>
        </is>
      </c>
      <c r="M5491" s="12" t="inlineStr">
        <is>
          <t>6</t>
        </is>
      </c>
      <c r="N5491" s="12" t="n">
        <v>1</v>
      </c>
      <c r="O5491" s="12" t="n">
        <v>1</v>
      </c>
      <c r="P5491" s="12" t="n">
        <v>480</v>
      </c>
      <c r="Q5491" s="12" t="n">
        <v>30</v>
      </c>
      <c r="R5491" s="12" t="n">
        <v>42.5</v>
      </c>
      <c r="S5491" s="12" t="inlineStr">
        <is>
          <t>Duct bank</t>
        </is>
      </c>
      <c r="T5491" s="15" t="n">
        <v>35</v>
      </c>
      <c r="U5491" s="15" t="n">
        <v>32</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I-P-0313</t>
        </is>
      </c>
      <c r="B5492" s="12" t="inlineStr">
        <is>
          <t>I</t>
        </is>
      </c>
      <c r="C5492" s="12" t="inlineStr">
        <is>
          <t>Modular / portable power</t>
        </is>
      </c>
      <c r="D5492" s="12" t="inlineStr">
        <is>
          <t>Motor 9 of 10, 30 kW</t>
        </is>
      </c>
      <c r="E5492" s="12" t="inlineStr"/>
      <c r="F5492" s="12" t="inlineStr">
        <is>
          <t>SC-2 PCM + 15 kV GCB</t>
        </is>
      </c>
      <c r="G5492" s="12" t="inlineStr">
        <is>
          <t>SC-2</t>
        </is>
      </c>
      <c r="H5492" s="12" t="inlineStr">
        <is>
          <t>SC-2: aeroderivative simple-cycle unit (50 MW class)</t>
        </is>
      </c>
      <c r="I5492" s="12" t="inlineStr">
        <is>
          <t>LV 600 V</t>
        </is>
      </c>
      <c r="J5492" s="12" t="inlineStr">
        <is>
          <t>Type TC-ER 600 V 3/C Cu XHHW-2 + ground, PVC jacket</t>
        </is>
      </c>
      <c r="K5492" s="12" t="inlineStr">
        <is>
          <t>LV|3/C+G|6</t>
        </is>
      </c>
      <c r="L5492" s="12" t="inlineStr">
        <is>
          <t>3/C+G</t>
        </is>
      </c>
      <c r="M5492" s="12" t="inlineStr">
        <is>
          <t>6</t>
        </is>
      </c>
      <c r="N5492" s="12" t="n">
        <v>1</v>
      </c>
      <c r="O5492" s="12" t="n">
        <v>1</v>
      </c>
      <c r="P5492" s="12" t="n">
        <v>480</v>
      </c>
      <c r="Q5492" s="12" t="n">
        <v>30</v>
      </c>
      <c r="R5492" s="12" t="n">
        <v>42.5</v>
      </c>
      <c r="S5492" s="12" t="inlineStr">
        <is>
          <t>Duct bank</t>
        </is>
      </c>
      <c r="T5492" s="15" t="n">
        <v>35</v>
      </c>
      <c r="U5492" s="15" t="n">
        <v>32</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I-P-0314</t>
        </is>
      </c>
      <c r="B5493" s="12" t="inlineStr">
        <is>
          <t>I</t>
        </is>
      </c>
      <c r="C5493" s="12" t="inlineStr">
        <is>
          <t>Modular / portable power</t>
        </is>
      </c>
      <c r="D5493" s="12" t="inlineStr">
        <is>
          <t>Motor 10 of 10, 30 kW</t>
        </is>
      </c>
      <c r="E5493" s="12" t="inlineStr"/>
      <c r="F5493" s="12" t="inlineStr">
        <is>
          <t>SC-2 PCM + 15 kV GCB</t>
        </is>
      </c>
      <c r="G5493" s="12" t="inlineStr">
        <is>
          <t>SC-2</t>
        </is>
      </c>
      <c r="H5493" s="12" t="inlineStr">
        <is>
          <t>SC-2: aeroderivative simple-cycle unit (50 MW class)</t>
        </is>
      </c>
      <c r="I5493" s="12" t="inlineStr">
        <is>
          <t>LV 600 V</t>
        </is>
      </c>
      <c r="J5493" s="12" t="inlineStr">
        <is>
          <t>Type TC-ER 600 V 3/C Cu XHHW-2 + ground, PVC jacket</t>
        </is>
      </c>
      <c r="K5493" s="12" t="inlineStr">
        <is>
          <t>LV|3/C+G|6</t>
        </is>
      </c>
      <c r="L5493" s="12" t="inlineStr">
        <is>
          <t>3/C+G</t>
        </is>
      </c>
      <c r="M5493" s="12" t="inlineStr">
        <is>
          <t>6</t>
        </is>
      </c>
      <c r="N5493" s="12" t="n">
        <v>1</v>
      </c>
      <c r="O5493" s="12" t="n">
        <v>1</v>
      </c>
      <c r="P5493" s="12" t="n">
        <v>480</v>
      </c>
      <c r="Q5493" s="12" t="n">
        <v>30</v>
      </c>
      <c r="R5493" s="12" t="n">
        <v>42.5</v>
      </c>
      <c r="S5493" s="12" t="inlineStr">
        <is>
          <t>Duct bank</t>
        </is>
      </c>
      <c r="T5493" s="15" t="n">
        <v>35</v>
      </c>
      <c r="U5493" s="15" t="n">
        <v>32</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I-P-0315</t>
        </is>
      </c>
      <c r="B5494" s="12" t="inlineStr">
        <is>
          <t>I</t>
        </is>
      </c>
      <c r="C5494" s="12" t="inlineStr">
        <is>
          <t>Modular / portable power</t>
        </is>
      </c>
      <c r="D5494" s="12" t="inlineStr">
        <is>
          <t>Area / platform lighting circuit 1 (8 fixtures)</t>
        </is>
      </c>
      <c r="E5494" s="12" t="inlineStr"/>
      <c r="F5494" s="12" t="inlineStr">
        <is>
          <t>SC-2 PCM + 15 kV GCB</t>
        </is>
      </c>
      <c r="G5494" s="12" t="inlineStr">
        <is>
          <t>SC-2</t>
        </is>
      </c>
      <c r="H5494" s="12" t="inlineStr">
        <is>
          <t>SC-2: aeroderivative simple-cycle unit (50 MW class)</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3</v>
      </c>
      <c r="R5494" s="12" t="n">
        <v>5</v>
      </c>
      <c r="S5494" s="12" t="inlineStr">
        <is>
          <t>Duct bank</t>
        </is>
      </c>
      <c r="T5494" s="15" t="n">
        <v>335</v>
      </c>
      <c r="U5494" s="15" t="n">
        <v>32</v>
      </c>
      <c r="V5494" s="15">
        <f>ROUNDUP((T5494+U5494+2*'Read Me'!$B$13)*(1+'Read Me'!$B$12),-1)</f>
        <v/>
      </c>
      <c r="W5494" s="15">
        <f>V5494*N5494*O5494</f>
        <v/>
      </c>
      <c r="X5494" s="12">
        <f>IF(LEFT(I5494,2)="MV",2*N5494*IF(L5494="1/C",O5494,1),0)</f>
        <v/>
      </c>
      <c r="Y5494" s="12">
        <f>IF(OR(LEFT(K5494,4)="LVAX",LEFT(K5494,6)="MV15AX",LEFT(K5494,4)="CTAX",LEFT(K5494,2)="W|"),2*N5494*O5494,0)</f>
        <v/>
      </c>
      <c r="Z5494" s="12" t="inlineStr">
        <is>
          <t>fixture-to-fixture run included</t>
        </is>
      </c>
      <c r="AA5494" s="12">
        <f>N5494*O5494</f>
        <v/>
      </c>
    </row>
    <row r="5495">
      <c r="A5495" s="12" t="inlineStr">
        <is>
          <t>I-P-0316</t>
        </is>
      </c>
      <c r="B5495" s="12" t="inlineStr">
        <is>
          <t>I</t>
        </is>
      </c>
      <c r="C5495" s="12" t="inlineStr">
        <is>
          <t>Modular / portable power</t>
        </is>
      </c>
      <c r="D5495" s="12" t="inlineStr">
        <is>
          <t>SWG-MY station service from its internal 480 V aux transformer: charger, heaters, HVAC</t>
        </is>
      </c>
      <c r="E5495" s="12" t="inlineStr">
        <is>
          <t>SWG-MY</t>
        </is>
      </c>
      <c r="F5495" s="12" t="inlineStr">
        <is>
          <t xml:space="preserve">SWG-MY: 35 kV switchgear lineup for the modular blocks (group breaker </t>
        </is>
      </c>
      <c r="G5495" s="12" t="inlineStr">
        <is>
          <t>SWG-MY</t>
        </is>
      </c>
      <c r="H5495" s="12" t="inlineStr">
        <is>
          <t xml:space="preserve">SWG-MY: 35 kV switchgear lineup for the modular blocks (group breaker </t>
        </is>
      </c>
      <c r="I5495" s="12" t="inlineStr">
        <is>
          <t>LV 600 V</t>
        </is>
      </c>
      <c r="J5495" s="12" t="inlineStr">
        <is>
          <t>Type TC-ER 600 V 3/C Cu XHHW-2 + ground, PVC jacket</t>
        </is>
      </c>
      <c r="K5495" s="12" t="inlineStr">
        <is>
          <t>LV|3/C+G|2</t>
        </is>
      </c>
      <c r="L5495" s="12" t="inlineStr">
        <is>
          <t>3/C+G</t>
        </is>
      </c>
      <c r="M5495" s="12" t="inlineStr">
        <is>
          <t>2</t>
        </is>
      </c>
      <c r="N5495" s="12" t="n">
        <v>1</v>
      </c>
      <c r="O5495" s="12" t="n">
        <v>1</v>
      </c>
      <c r="P5495" s="12" t="n">
        <v>480</v>
      </c>
      <c r="Q5495" s="12" t="n">
        <v>45</v>
      </c>
      <c r="R5495" s="12" t="n">
        <v>60</v>
      </c>
      <c r="S5495" s="12" t="inlineStr">
        <is>
          <t>Tray</t>
        </is>
      </c>
      <c r="T5495" s="15" t="n">
        <v>40</v>
      </c>
      <c r="U5495" s="15" t="n">
        <v>10</v>
      </c>
      <c r="V5495" s="15">
        <f>ROUNDUP((T5495+U5495+2*'Read Me'!$B$13)*(1+'Read Me'!$B$12),-1)</f>
        <v/>
      </c>
      <c r="W5495" s="15">
        <f>V5495*N5495*O5495</f>
        <v/>
      </c>
      <c r="X5495" s="12">
        <f>IF(LEFT(I5495,2)="MV",2*N5495*IF(L5495="1/C",O5495,1),0)</f>
        <v/>
      </c>
      <c r="Y5495" s="12">
        <f>IF(OR(LEFT(K5495,4)="LVAX",LEFT(K5495,6)="MV15AX",LEFT(K5495,4)="CTAX",LEFT(K5495,2)="W|"),2*N5495*O5495,0)</f>
        <v/>
      </c>
      <c r="Z5495" s="12" t="inlineStr">
        <is>
          <t>internal to the lineup</t>
        </is>
      </c>
      <c r="AA5495" s="12">
        <f>N5495*O5495</f>
        <v/>
      </c>
    </row>
    <row r="5496">
      <c r="A5496" s="12" t="inlineStr">
        <is>
          <t>I-P-0317</t>
        </is>
      </c>
      <c r="B5496" s="12" t="inlineStr">
        <is>
          <t>I</t>
        </is>
      </c>
      <c r="C5496" s="12" t="inlineStr">
        <is>
          <t>Modular / portable power</t>
        </is>
      </c>
      <c r="D5496" s="12" t="inlineStr">
        <is>
          <t>SWG-PK station service, HVAC, lighting, DC charger (station-service transformer inside)</t>
        </is>
      </c>
      <c r="E5496" s="12" t="inlineStr">
        <is>
          <t>SWG-PK</t>
        </is>
      </c>
      <c r="F5496" s="12" t="inlineStr">
        <is>
          <t>SWG-PK: 34.5 kV park collector switchgear (2 bus sections, tie; 8 feed</t>
        </is>
      </c>
      <c r="G5496" s="12" t="inlineStr">
        <is>
          <t>SWG-PK</t>
        </is>
      </c>
      <c r="H5496" s="12" t="inlineStr">
        <is>
          <t>SWG-PK: 34.5 kV park collector switchgear (2 bus sections, tie; 8 feed</t>
        </is>
      </c>
      <c r="I5496" s="12" t="inlineStr">
        <is>
          <t>LV 600 V</t>
        </is>
      </c>
      <c r="J5496" s="12" t="inlineStr">
        <is>
          <t>Type TC-ER 600 V 3/C Cu XHHW-2 + ground, PVC jacket</t>
        </is>
      </c>
      <c r="K5496" s="12" t="inlineStr">
        <is>
          <t>LV|3/C+G|2</t>
        </is>
      </c>
      <c r="L5496" s="12" t="inlineStr">
        <is>
          <t>3/C+G</t>
        </is>
      </c>
      <c r="M5496" s="12" t="inlineStr">
        <is>
          <t>2</t>
        </is>
      </c>
      <c r="N5496" s="12" t="n">
        <v>1</v>
      </c>
      <c r="O5496" s="12" t="n">
        <v>1</v>
      </c>
      <c r="P5496" s="12" t="n">
        <v>480</v>
      </c>
      <c r="Q5496" s="12" t="n">
        <v>60</v>
      </c>
      <c r="R5496" s="12" t="n">
        <v>85</v>
      </c>
      <c r="S5496" s="12" t="inlineStr">
        <is>
          <t>Tray</t>
        </is>
      </c>
      <c r="T5496" s="15" t="n">
        <v>100</v>
      </c>
      <c r="U5496" s="15" t="n">
        <v>10</v>
      </c>
      <c r="V5496" s="15">
        <f>ROUNDUP((T5496+U5496+2*'Read Me'!$B$13)*(1+'Read Me'!$B$12),-1)</f>
        <v/>
      </c>
      <c r="W5496" s="15">
        <f>V5496*N5496*O5496</f>
        <v/>
      </c>
      <c r="X5496" s="12">
        <f>IF(LEFT(I5496,2)="MV",2*N5496*IF(L5496="1/C",O5496,1),0)</f>
        <v/>
      </c>
      <c r="Y5496" s="12">
        <f>IF(OR(LEFT(K5496,4)="LVAX",LEFT(K5496,6)="MV15AX",LEFT(K5496,4)="CTAX",LEFT(K5496,2)="W|"),2*N5496*O5496,0)</f>
        <v/>
      </c>
      <c r="Z5496" s="12" t="inlineStr">
        <is>
          <t>internal to the e-house</t>
        </is>
      </c>
      <c r="AA5496" s="12">
        <f>N5496*O5496</f>
        <v/>
      </c>
    </row>
    <row r="5497">
      <c r="A5497" s="12" t="inlineStr">
        <is>
          <t>I-P-0318</t>
        </is>
      </c>
      <c r="B5497" s="12" t="inlineStr">
        <is>
          <t>I</t>
        </is>
      </c>
      <c r="C5497" s="12" t="inlineStr">
        <is>
          <t>Modular / portable power</t>
        </is>
      </c>
      <c r="D5497" s="12" t="inlineStr">
        <is>
          <t>Motor 1 of 6, 2 kW</t>
        </is>
      </c>
      <c r="E5497" s="12" t="inlineStr"/>
      <c r="F5497" s="12" t="inlineStr">
        <is>
          <t>MOD-LV 480 V board + 480 V : 13.8 kV step-up</t>
        </is>
      </c>
      <c r="G5497" s="12" t="inlineStr"/>
      <c r="H5497" s="12" t="inlineStr">
        <is>
          <t>T-MOD 230 kV take-off gantry with arresters</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47</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I-P-0319</t>
        </is>
      </c>
      <c r="B5498" s="12" t="inlineStr">
        <is>
          <t>I</t>
        </is>
      </c>
      <c r="C5498" s="12" t="inlineStr">
        <is>
          <t>Modular / portable power</t>
        </is>
      </c>
      <c r="D5498" s="12" t="inlineStr">
        <is>
          <t>Motor 2 of 6, 2 kW</t>
        </is>
      </c>
      <c r="E5498" s="12" t="inlineStr"/>
      <c r="F5498" s="12" t="inlineStr">
        <is>
          <t>MOD-LV 480 V board + 480 V : 13.8 kV step-up</t>
        </is>
      </c>
      <c r="G5498" s="12" t="inlineStr"/>
      <c r="H5498" s="12" t="inlineStr">
        <is>
          <t>T-MOD 230 kV take-off gantry with arresters</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47</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I-P-0320</t>
        </is>
      </c>
      <c r="B5499" s="12" t="inlineStr">
        <is>
          <t>I</t>
        </is>
      </c>
      <c r="C5499" s="12" t="inlineStr">
        <is>
          <t>Modular / portable power</t>
        </is>
      </c>
      <c r="D5499" s="12" t="inlineStr">
        <is>
          <t>Motor 3 of 6, 2 kW</t>
        </is>
      </c>
      <c r="E5499" s="12" t="inlineStr"/>
      <c r="F5499" s="12" t="inlineStr">
        <is>
          <t>MOD-LV 480 V board + 480 V : 13.8 kV step-up</t>
        </is>
      </c>
      <c r="G5499" s="12" t="inlineStr"/>
      <c r="H5499" s="12" t="inlineStr">
        <is>
          <t>T-MOD 230 kV take-off gantry with arresters</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47</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I-P-0321</t>
        </is>
      </c>
      <c r="B5500" s="12" t="inlineStr">
        <is>
          <t>I</t>
        </is>
      </c>
      <c r="C5500" s="12" t="inlineStr">
        <is>
          <t>Modular / portable power</t>
        </is>
      </c>
      <c r="D5500" s="12" t="inlineStr">
        <is>
          <t>Motor 4 of 6, 2 kW</t>
        </is>
      </c>
      <c r="E5500" s="12" t="inlineStr"/>
      <c r="F5500" s="12" t="inlineStr">
        <is>
          <t>MOD-LV 480 V board + 480 V : 13.8 kV step-up</t>
        </is>
      </c>
      <c r="G5500" s="12" t="inlineStr"/>
      <c r="H5500" s="12" t="inlineStr">
        <is>
          <t>T-MOD 230 kV take-off gantry with arresters</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47</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I-P-0322</t>
        </is>
      </c>
      <c r="B5501" s="12" t="inlineStr">
        <is>
          <t>I</t>
        </is>
      </c>
      <c r="C5501" s="12" t="inlineStr">
        <is>
          <t>Modular / portable power</t>
        </is>
      </c>
      <c r="D5501" s="12" t="inlineStr">
        <is>
          <t>Motor 5 of 6, 2 kW</t>
        </is>
      </c>
      <c r="E5501" s="12" t="inlineStr"/>
      <c r="F5501" s="12" t="inlineStr">
        <is>
          <t>MOD-LV 480 V board + 480 V : 13.8 kV step-up</t>
        </is>
      </c>
      <c r="G5501" s="12" t="inlineStr"/>
      <c r="H5501" s="12" t="inlineStr">
        <is>
          <t>T-MOD 230 kV take-off gantry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47</v>
      </c>
      <c r="V5501" s="15">
        <f>ROUNDUP((T5501+U5501+2*'Read Me'!$B$13)*(1+'Read Me'!$B$12),-1)</f>
        <v/>
      </c>
      <c r="W5501" s="15">
        <f>V5501*N5501*O5501</f>
        <v/>
      </c>
      <c r="X5501" s="12">
        <f>IF(LEFT(I5501,2)="MV",2*N5501*IF(L5501="1/C",O5501,1),0)</f>
        <v/>
      </c>
      <c r="Y5501" s="12">
        <f>IF(OR(LEFT(K5501,4)="LVAX",LEFT(K5501,6)="MV15AX",LEFT(K5501,4)="CTAX",LEFT(K5501,2)="W|"),2*N5501*O5501,0)</f>
        <v/>
      </c>
      <c r="Z5501" s="12" t="inlineStr">
        <is>
          <t>VD 0.5 %</t>
        </is>
      </c>
      <c r="AA5501" s="12">
        <f>N5501*O5501</f>
        <v/>
      </c>
    </row>
    <row r="5502">
      <c r="A5502" s="12" t="inlineStr">
        <is>
          <t>I-P-0323</t>
        </is>
      </c>
      <c r="B5502" s="12" t="inlineStr">
        <is>
          <t>I</t>
        </is>
      </c>
      <c r="C5502" s="12" t="inlineStr">
        <is>
          <t>Modular / portable power</t>
        </is>
      </c>
      <c r="D5502" s="12" t="inlineStr">
        <is>
          <t>Motor 6 of 6, 2 kW</t>
        </is>
      </c>
      <c r="E5502" s="12" t="inlineStr"/>
      <c r="F5502" s="12" t="inlineStr">
        <is>
          <t>MOD-LV 480 V board + 480 V : 13.8 kV step-up</t>
        </is>
      </c>
      <c r="G5502" s="12" t="inlineStr"/>
      <c r="H5502" s="12" t="inlineStr">
        <is>
          <t>T-MOD 230 kV take-off gantry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47</v>
      </c>
      <c r="V5502" s="15">
        <f>ROUNDUP((T5502+U5502+2*'Read Me'!$B$13)*(1+'Read Me'!$B$12),-1)</f>
        <v/>
      </c>
      <c r="W5502" s="15">
        <f>V5502*N5502*O5502</f>
        <v/>
      </c>
      <c r="X5502" s="12">
        <f>IF(LEFT(I5502,2)="MV",2*N5502*IF(L5502="1/C",O5502,1),0)</f>
        <v/>
      </c>
      <c r="Y5502" s="12">
        <f>IF(OR(LEFT(K5502,4)="LVAX",LEFT(K5502,6)="MV15AX",LEFT(K5502,4)="CTAX",LEFT(K5502,2)="W|"),2*N5502*O5502,0)</f>
        <v/>
      </c>
      <c r="Z5502" s="12" t="inlineStr">
        <is>
          <t>VD 0.5 %</t>
        </is>
      </c>
      <c r="AA5502" s="12">
        <f>N5502*O5502</f>
        <v/>
      </c>
    </row>
    <row r="5503">
      <c r="A5503" s="12" t="inlineStr">
        <is>
          <t>I-P-0324</t>
        </is>
      </c>
      <c r="B5503" s="12" t="inlineStr">
        <is>
          <t>I</t>
        </is>
      </c>
      <c r="C5503" s="12" t="inlineStr">
        <is>
          <t>Modular / portable power</t>
        </is>
      </c>
      <c r="D5503" s="12" t="inlineStr">
        <is>
          <t>Motor 1 of 6, 2 kW</t>
        </is>
      </c>
      <c r="E5503" s="12" t="inlineStr"/>
      <c r="F5503" s="12" t="inlineStr">
        <is>
          <t>MOD-LV 480 V board + 480 V : 13.8 kV step-up</t>
        </is>
      </c>
      <c r="G5503" s="12" t="inlineStr"/>
      <c r="H5503" s="12" t="inlineStr">
        <is>
          <t>T-MOD-1 / T-MOD-2 firewall</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373</v>
      </c>
      <c r="U5503" s="15" t="n">
        <v>62</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I-P-0325</t>
        </is>
      </c>
      <c r="B5504" s="12" t="inlineStr">
        <is>
          <t>I</t>
        </is>
      </c>
      <c r="C5504" s="12" t="inlineStr">
        <is>
          <t>Modular / portable power</t>
        </is>
      </c>
      <c r="D5504" s="12" t="inlineStr">
        <is>
          <t>Motor 2 of 6, 2 kW</t>
        </is>
      </c>
      <c r="E5504" s="12" t="inlineStr"/>
      <c r="F5504" s="12" t="inlineStr">
        <is>
          <t>MOD-LV 480 V board + 480 V : 13.8 kV step-up</t>
        </is>
      </c>
      <c r="G5504" s="12" t="inlineStr"/>
      <c r="H5504" s="12" t="inlineStr">
        <is>
          <t>T-MOD-1 / T-MOD-2 firewall</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373</v>
      </c>
      <c r="U5504" s="15" t="n">
        <v>62</v>
      </c>
      <c r="V5504" s="15">
        <f>ROUNDUP((T5504+U5504+2*'Read Me'!$B$13)*(1+'Read Me'!$B$12),-1)</f>
        <v/>
      </c>
      <c r="W5504" s="15">
        <f>V5504*N5504*O5504</f>
        <v/>
      </c>
      <c r="X5504" s="12">
        <f>IF(LEFT(I5504,2)="MV",2*N5504*IF(L5504="1/C",O5504,1),0)</f>
        <v/>
      </c>
      <c r="Y5504" s="12">
        <f>IF(OR(LEFT(K5504,4)="LVAX",LEFT(K5504,6)="MV15AX",LEFT(K5504,4)="CTAX",LEFT(K5504,2)="W|"),2*N5504*O5504,0)</f>
        <v/>
      </c>
      <c r="Z5504" s="12" t="inlineStr">
        <is>
          <t>VD 0.6 %</t>
        </is>
      </c>
      <c r="AA5504" s="12">
        <f>N5504*O5504</f>
        <v/>
      </c>
    </row>
    <row r="5505">
      <c r="A5505" s="12" t="inlineStr">
        <is>
          <t>I-P-0326</t>
        </is>
      </c>
      <c r="B5505" s="12" t="inlineStr">
        <is>
          <t>I</t>
        </is>
      </c>
      <c r="C5505" s="12" t="inlineStr">
        <is>
          <t>Modular / portable power</t>
        </is>
      </c>
      <c r="D5505" s="12" t="inlineStr">
        <is>
          <t>Motor 3 of 6, 2 kW</t>
        </is>
      </c>
      <c r="E5505" s="12" t="inlineStr"/>
      <c r="F5505" s="12" t="inlineStr">
        <is>
          <t>MOD-LV 480 V board + 480 V : 13.8 kV step-up</t>
        </is>
      </c>
      <c r="G5505" s="12" t="inlineStr"/>
      <c r="H5505" s="12" t="inlineStr">
        <is>
          <t>T-MOD-1 / T-MOD-2 firewall</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373</v>
      </c>
      <c r="U5505" s="15" t="n">
        <v>62</v>
      </c>
      <c r="V5505" s="15">
        <f>ROUNDUP((T5505+U5505+2*'Read Me'!$B$13)*(1+'Read Me'!$B$12),-1)</f>
        <v/>
      </c>
      <c r="W5505" s="15">
        <f>V5505*N5505*O5505</f>
        <v/>
      </c>
      <c r="X5505" s="12">
        <f>IF(LEFT(I5505,2)="MV",2*N5505*IF(L5505="1/C",O5505,1),0)</f>
        <v/>
      </c>
      <c r="Y5505" s="12">
        <f>IF(OR(LEFT(K5505,4)="LVAX",LEFT(K5505,6)="MV15AX",LEFT(K5505,4)="CTAX",LEFT(K5505,2)="W|"),2*N5505*O5505,0)</f>
        <v/>
      </c>
      <c r="Z5505" s="12" t="inlineStr">
        <is>
          <t>VD 0.6 %</t>
        </is>
      </c>
      <c r="AA5505" s="12">
        <f>N5505*O5505</f>
        <v/>
      </c>
    </row>
    <row r="5506">
      <c r="A5506" s="12" t="inlineStr">
        <is>
          <t>I-P-0327</t>
        </is>
      </c>
      <c r="B5506" s="12" t="inlineStr">
        <is>
          <t>I</t>
        </is>
      </c>
      <c r="C5506" s="12" t="inlineStr">
        <is>
          <t>Modular / portable power</t>
        </is>
      </c>
      <c r="D5506" s="12" t="inlineStr">
        <is>
          <t>Motor 4 of 6, 2 kW</t>
        </is>
      </c>
      <c r="E5506" s="12" t="inlineStr"/>
      <c r="F5506" s="12" t="inlineStr">
        <is>
          <t>MOD-LV 480 V board + 480 V : 13.8 kV step-up</t>
        </is>
      </c>
      <c r="G5506" s="12" t="inlineStr"/>
      <c r="H5506" s="12" t="inlineStr">
        <is>
          <t>T-MOD-1 / T-MOD-2 firewall</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373</v>
      </c>
      <c r="U5506" s="15" t="n">
        <v>62</v>
      </c>
      <c r="V5506" s="15">
        <f>ROUNDUP((T5506+U5506+2*'Read Me'!$B$13)*(1+'Read Me'!$B$12),-1)</f>
        <v/>
      </c>
      <c r="W5506" s="15">
        <f>V5506*N5506*O5506</f>
        <v/>
      </c>
      <c r="X5506" s="12">
        <f>IF(LEFT(I5506,2)="MV",2*N5506*IF(L5506="1/C",O5506,1),0)</f>
        <v/>
      </c>
      <c r="Y5506" s="12">
        <f>IF(OR(LEFT(K5506,4)="LVAX",LEFT(K5506,6)="MV15AX",LEFT(K5506,4)="CTAX",LEFT(K5506,2)="W|"),2*N5506*O5506,0)</f>
        <v/>
      </c>
      <c r="Z5506" s="12" t="inlineStr">
        <is>
          <t>VD 0.6 %</t>
        </is>
      </c>
      <c r="AA5506" s="12">
        <f>N5506*O5506</f>
        <v/>
      </c>
    </row>
    <row r="5507">
      <c r="A5507" s="12" t="inlineStr">
        <is>
          <t>I-P-0328</t>
        </is>
      </c>
      <c r="B5507" s="12" t="inlineStr">
        <is>
          <t>I</t>
        </is>
      </c>
      <c r="C5507" s="12" t="inlineStr">
        <is>
          <t>Modular / portable power</t>
        </is>
      </c>
      <c r="D5507" s="12" t="inlineStr">
        <is>
          <t>Motor 5 of 6, 2 kW</t>
        </is>
      </c>
      <c r="E5507" s="12" t="inlineStr"/>
      <c r="F5507" s="12" t="inlineStr">
        <is>
          <t>MOD-LV 480 V board + 480 V : 13.8 kV step-up</t>
        </is>
      </c>
      <c r="G5507" s="12" t="inlineStr"/>
      <c r="H5507" s="12" t="inlineStr">
        <is>
          <t>T-MOD-1 / T-MOD-2 firewall</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373</v>
      </c>
      <c r="U5507" s="15" t="n">
        <v>62</v>
      </c>
      <c r="V5507" s="15">
        <f>ROUNDUP((T5507+U5507+2*'Read Me'!$B$13)*(1+'Read Me'!$B$12),-1)</f>
        <v/>
      </c>
      <c r="W5507" s="15">
        <f>V5507*N5507*O5507</f>
        <v/>
      </c>
      <c r="X5507" s="12">
        <f>IF(LEFT(I5507,2)="MV",2*N5507*IF(L5507="1/C",O5507,1),0)</f>
        <v/>
      </c>
      <c r="Y5507" s="12">
        <f>IF(OR(LEFT(K5507,4)="LVAX",LEFT(K5507,6)="MV15AX",LEFT(K5507,4)="CTAX",LEFT(K5507,2)="W|"),2*N5507*O5507,0)</f>
        <v/>
      </c>
      <c r="Z5507" s="12" t="inlineStr">
        <is>
          <t>VD 0.6 %</t>
        </is>
      </c>
      <c r="AA5507" s="12">
        <f>N5507*O5507</f>
        <v/>
      </c>
    </row>
    <row r="5508">
      <c r="A5508" s="12" t="inlineStr">
        <is>
          <t>I-P-0329</t>
        </is>
      </c>
      <c r="B5508" s="12" t="inlineStr">
        <is>
          <t>I</t>
        </is>
      </c>
      <c r="C5508" s="12" t="inlineStr">
        <is>
          <t>Modular / portable power</t>
        </is>
      </c>
      <c r="D5508" s="12" t="inlineStr">
        <is>
          <t>Motor 6 of 6, 2 kW</t>
        </is>
      </c>
      <c r="E5508" s="12" t="inlineStr"/>
      <c r="F5508" s="12" t="inlineStr">
        <is>
          <t>MOD-LV 480 V board + 480 V : 13.8 kV step-up</t>
        </is>
      </c>
      <c r="G5508" s="12" t="inlineStr"/>
      <c r="H5508" s="12" t="inlineStr">
        <is>
          <t>T-MOD-1 / T-MOD-2 firewall</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373</v>
      </c>
      <c r="U5508" s="15" t="n">
        <v>62</v>
      </c>
      <c r="V5508" s="15">
        <f>ROUNDUP((T5508+U5508+2*'Read Me'!$B$13)*(1+'Read Me'!$B$12),-1)</f>
        <v/>
      </c>
      <c r="W5508" s="15">
        <f>V5508*N5508*O5508</f>
        <v/>
      </c>
      <c r="X5508" s="12">
        <f>IF(LEFT(I5508,2)="MV",2*N5508*IF(L5508="1/C",O5508,1),0)</f>
        <v/>
      </c>
      <c r="Y5508" s="12">
        <f>IF(OR(LEFT(K5508,4)="LVAX",LEFT(K5508,6)="MV15AX",LEFT(K5508,4)="CTAX",LEFT(K5508,2)="W|"),2*N5508*O5508,0)</f>
        <v/>
      </c>
      <c r="Z5508" s="12" t="inlineStr">
        <is>
          <t>VD 0.6 %</t>
        </is>
      </c>
      <c r="AA5508" s="12">
        <f>N5508*O5508</f>
        <v/>
      </c>
    </row>
    <row r="5509">
      <c r="A5509" s="12" t="inlineStr">
        <is>
          <t>I-P-0330</t>
        </is>
      </c>
      <c r="B5509" s="12" t="inlineStr">
        <is>
          <t>I</t>
        </is>
      </c>
      <c r="C5509" s="12" t="inlineStr">
        <is>
          <t>Modular / portable power</t>
        </is>
      </c>
      <c r="D5509" s="12" t="inlineStr">
        <is>
          <t>Motor 1 of 6, 2 kW</t>
        </is>
      </c>
      <c r="E5509" s="12" t="inlineStr"/>
      <c r="F5509" s="12" t="inlineStr">
        <is>
          <t>MOD-LV 480 V board + 480 V : 13.8 kV step-up</t>
        </is>
      </c>
      <c r="G5509" s="12" t="inlineStr">
        <is>
          <t>T-MOD-1</t>
        </is>
      </c>
      <c r="H5509" s="12" t="inlineStr">
        <is>
          <t>T-MOD-1: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328</v>
      </c>
      <c r="U5509" s="15" t="n">
        <v>57</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I-P-0331</t>
        </is>
      </c>
      <c r="B5510" s="12" t="inlineStr">
        <is>
          <t>I</t>
        </is>
      </c>
      <c r="C5510" s="12" t="inlineStr">
        <is>
          <t>Modular / portable power</t>
        </is>
      </c>
      <c r="D5510" s="12" t="inlineStr">
        <is>
          <t>Motor 2 of 6, 2 kW</t>
        </is>
      </c>
      <c r="E5510" s="12" t="inlineStr"/>
      <c r="F5510" s="12" t="inlineStr">
        <is>
          <t>MOD-LV 480 V board + 480 V : 13.8 kV step-up</t>
        </is>
      </c>
      <c r="G5510" s="12" t="inlineStr">
        <is>
          <t>T-MOD-1</t>
        </is>
      </c>
      <c r="H5510" s="12" t="inlineStr">
        <is>
          <t>T-MOD-1: 230 / 34.5 kV</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328</v>
      </c>
      <c r="U5510" s="15" t="n">
        <v>57</v>
      </c>
      <c r="V5510" s="15">
        <f>ROUNDUP((T5510+U5510+2*'Read Me'!$B$13)*(1+'Read Me'!$B$12),-1)</f>
        <v/>
      </c>
      <c r="W5510" s="15">
        <f>V5510*N5510*O5510</f>
        <v/>
      </c>
      <c r="X5510" s="12">
        <f>IF(LEFT(I5510,2)="MV",2*N5510*IF(L5510="1/C",O5510,1),0)</f>
        <v/>
      </c>
      <c r="Y5510" s="12">
        <f>IF(OR(LEFT(K5510,4)="LVAX",LEFT(K5510,6)="MV15AX",LEFT(K5510,4)="CTAX",LEFT(K5510,2)="W|"),2*N5510*O5510,0)</f>
        <v/>
      </c>
      <c r="Z5510" s="12" t="inlineStr">
        <is>
          <t>VD 0.5 %</t>
        </is>
      </c>
      <c r="AA5510" s="12">
        <f>N5510*O5510</f>
        <v/>
      </c>
    </row>
    <row r="5511">
      <c r="A5511" s="12" t="inlineStr">
        <is>
          <t>I-P-0332</t>
        </is>
      </c>
      <c r="B5511" s="12" t="inlineStr">
        <is>
          <t>I</t>
        </is>
      </c>
      <c r="C5511" s="12" t="inlineStr">
        <is>
          <t>Modular / portable power</t>
        </is>
      </c>
      <c r="D5511" s="12" t="inlineStr">
        <is>
          <t>Motor 3 of 6, 2 kW</t>
        </is>
      </c>
      <c r="E5511" s="12" t="inlineStr"/>
      <c r="F5511" s="12" t="inlineStr">
        <is>
          <t>MOD-LV 480 V board + 480 V : 13.8 kV step-up</t>
        </is>
      </c>
      <c r="G5511" s="12" t="inlineStr">
        <is>
          <t>T-MOD-1</t>
        </is>
      </c>
      <c r="H5511" s="12" t="inlineStr">
        <is>
          <t>T-MOD-1: 230 / 34.5 kV</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328</v>
      </c>
      <c r="U5511" s="15" t="n">
        <v>57</v>
      </c>
      <c r="V5511" s="15">
        <f>ROUNDUP((T5511+U5511+2*'Read Me'!$B$13)*(1+'Read Me'!$B$12),-1)</f>
        <v/>
      </c>
      <c r="W5511" s="15">
        <f>V5511*N5511*O5511</f>
        <v/>
      </c>
      <c r="X5511" s="12">
        <f>IF(LEFT(I5511,2)="MV",2*N5511*IF(L5511="1/C",O5511,1),0)</f>
        <v/>
      </c>
      <c r="Y5511" s="12">
        <f>IF(OR(LEFT(K5511,4)="LVAX",LEFT(K5511,6)="MV15AX",LEFT(K5511,4)="CTAX",LEFT(K5511,2)="W|"),2*N5511*O5511,0)</f>
        <v/>
      </c>
      <c r="Z5511" s="12" t="inlineStr">
        <is>
          <t>VD 0.5 %</t>
        </is>
      </c>
      <c r="AA5511" s="12">
        <f>N5511*O5511</f>
        <v/>
      </c>
    </row>
    <row r="5512">
      <c r="A5512" s="12" t="inlineStr">
        <is>
          <t>I-P-0333</t>
        </is>
      </c>
      <c r="B5512" s="12" t="inlineStr">
        <is>
          <t>I</t>
        </is>
      </c>
      <c r="C5512" s="12" t="inlineStr">
        <is>
          <t>Modular / portable power</t>
        </is>
      </c>
      <c r="D5512" s="12" t="inlineStr">
        <is>
          <t>Motor 4 of 6, 2 kW</t>
        </is>
      </c>
      <c r="E5512" s="12" t="inlineStr"/>
      <c r="F5512" s="12" t="inlineStr">
        <is>
          <t>MOD-LV 480 V board + 480 V : 13.8 kV step-up</t>
        </is>
      </c>
      <c r="G5512" s="12" t="inlineStr">
        <is>
          <t>T-MOD-1</t>
        </is>
      </c>
      <c r="H5512" s="12" t="inlineStr">
        <is>
          <t>T-MOD-1: 230 / 34.5 kV</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328</v>
      </c>
      <c r="U5512" s="15" t="n">
        <v>57</v>
      </c>
      <c r="V5512" s="15">
        <f>ROUNDUP((T5512+U5512+2*'Read Me'!$B$13)*(1+'Read Me'!$B$12),-1)</f>
        <v/>
      </c>
      <c r="W5512" s="15">
        <f>V5512*N5512*O5512</f>
        <v/>
      </c>
      <c r="X5512" s="12">
        <f>IF(LEFT(I5512,2)="MV",2*N5512*IF(L5512="1/C",O5512,1),0)</f>
        <v/>
      </c>
      <c r="Y5512" s="12">
        <f>IF(OR(LEFT(K5512,4)="LVAX",LEFT(K5512,6)="MV15AX",LEFT(K5512,4)="CTAX",LEFT(K5512,2)="W|"),2*N5512*O5512,0)</f>
        <v/>
      </c>
      <c r="Z5512" s="12" t="inlineStr">
        <is>
          <t>VD 0.5 %</t>
        </is>
      </c>
      <c r="AA5512" s="12">
        <f>N5512*O5512</f>
        <v/>
      </c>
    </row>
    <row r="5513">
      <c r="A5513" s="12" t="inlineStr">
        <is>
          <t>I-P-0334</t>
        </is>
      </c>
      <c r="B5513" s="12" t="inlineStr">
        <is>
          <t>I</t>
        </is>
      </c>
      <c r="C5513" s="12" t="inlineStr">
        <is>
          <t>Modular / portable power</t>
        </is>
      </c>
      <c r="D5513" s="12" t="inlineStr">
        <is>
          <t>Motor 5 of 6, 2 kW</t>
        </is>
      </c>
      <c r="E5513" s="12" t="inlineStr"/>
      <c r="F5513" s="12" t="inlineStr">
        <is>
          <t>MOD-LV 480 V board + 480 V : 13.8 kV step-up</t>
        </is>
      </c>
      <c r="G5513" s="12" t="inlineStr">
        <is>
          <t>T-MOD-1</t>
        </is>
      </c>
      <c r="H5513" s="12" t="inlineStr">
        <is>
          <t>T-MOD-1: 230 / 34.5 kV</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328</v>
      </c>
      <c r="U5513" s="15" t="n">
        <v>57</v>
      </c>
      <c r="V5513" s="15">
        <f>ROUNDUP((T5513+U5513+2*'Read Me'!$B$13)*(1+'Read Me'!$B$12),-1)</f>
        <v/>
      </c>
      <c r="W5513" s="15">
        <f>V5513*N5513*O5513</f>
        <v/>
      </c>
      <c r="X5513" s="12">
        <f>IF(LEFT(I5513,2)="MV",2*N5513*IF(L5513="1/C",O5513,1),0)</f>
        <v/>
      </c>
      <c r="Y5513" s="12">
        <f>IF(OR(LEFT(K5513,4)="LVAX",LEFT(K5513,6)="MV15AX",LEFT(K5513,4)="CTAX",LEFT(K5513,2)="W|"),2*N5513*O5513,0)</f>
        <v/>
      </c>
      <c r="Z5513" s="12" t="inlineStr">
        <is>
          <t>VD 0.5 %</t>
        </is>
      </c>
      <c r="AA5513" s="12">
        <f>N5513*O5513</f>
        <v/>
      </c>
    </row>
    <row r="5514">
      <c r="A5514" s="12" t="inlineStr">
        <is>
          <t>I-P-0335</t>
        </is>
      </c>
      <c r="B5514" s="12" t="inlineStr">
        <is>
          <t>I</t>
        </is>
      </c>
      <c r="C5514" s="12" t="inlineStr">
        <is>
          <t>Modular / portable power</t>
        </is>
      </c>
      <c r="D5514" s="12" t="inlineStr">
        <is>
          <t>Motor 6 of 6, 2 kW</t>
        </is>
      </c>
      <c r="E5514" s="12" t="inlineStr"/>
      <c r="F5514" s="12" t="inlineStr">
        <is>
          <t>MOD-LV 480 V board + 480 V : 13.8 kV step-up</t>
        </is>
      </c>
      <c r="G5514" s="12" t="inlineStr">
        <is>
          <t>T-MOD-1</t>
        </is>
      </c>
      <c r="H5514" s="12" t="inlineStr">
        <is>
          <t>T-MOD-1: 230 / 34.5 kV</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328</v>
      </c>
      <c r="U5514" s="15" t="n">
        <v>57</v>
      </c>
      <c r="V5514" s="15">
        <f>ROUNDUP((T5514+U5514+2*'Read Me'!$B$13)*(1+'Read Me'!$B$12),-1)</f>
        <v/>
      </c>
      <c r="W5514" s="15">
        <f>V5514*N5514*O5514</f>
        <v/>
      </c>
      <c r="X5514" s="12">
        <f>IF(LEFT(I5514,2)="MV",2*N5514*IF(L5514="1/C",O5514,1),0)</f>
        <v/>
      </c>
      <c r="Y5514" s="12">
        <f>IF(OR(LEFT(K5514,4)="LVAX",LEFT(K5514,6)="MV15AX",LEFT(K5514,4)="CTAX",LEFT(K5514,2)="W|"),2*N5514*O5514,0)</f>
        <v/>
      </c>
      <c r="Z5514" s="12" t="inlineStr">
        <is>
          <t>VD 0.5 %</t>
        </is>
      </c>
      <c r="AA5514" s="12">
        <f>N5514*O5514</f>
        <v/>
      </c>
    </row>
    <row r="5515">
      <c r="A5515" s="12" t="inlineStr">
        <is>
          <t>I-P-0336</t>
        </is>
      </c>
      <c r="B5515" s="12" t="inlineStr">
        <is>
          <t>I</t>
        </is>
      </c>
      <c r="C5515" s="12" t="inlineStr">
        <is>
          <t>Modular / portable power</t>
        </is>
      </c>
      <c r="D5515" s="12" t="inlineStr">
        <is>
          <t>Motor 1 of 6, 2 kW</t>
        </is>
      </c>
      <c r="E5515" s="12" t="inlineStr"/>
      <c r="F5515" s="12" t="inlineStr">
        <is>
          <t>MOD-LV 480 V board + 480 V : 13.8 kV step-up</t>
        </is>
      </c>
      <c r="G5515" s="12" t="inlineStr"/>
      <c r="H5515" s="12" t="inlineStr">
        <is>
          <t>T-MOD-2 / T-MOD-3 firewall</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0.5 %</t>
        </is>
      </c>
      <c r="AA5515" s="12">
        <f>N5515*O5515</f>
        <v/>
      </c>
    </row>
    <row r="5516">
      <c r="A5516" s="12" t="inlineStr">
        <is>
          <t>I-P-0337</t>
        </is>
      </c>
      <c r="B5516" s="12" t="inlineStr">
        <is>
          <t>I</t>
        </is>
      </c>
      <c r="C5516" s="12" t="inlineStr">
        <is>
          <t>Modular / portable power</t>
        </is>
      </c>
      <c r="D5516" s="12" t="inlineStr">
        <is>
          <t>Motor 2 of 6, 2 kW</t>
        </is>
      </c>
      <c r="E5516" s="12" t="inlineStr"/>
      <c r="F5516" s="12" t="inlineStr">
        <is>
          <t>MOD-LV 480 V board + 480 V : 13.8 kV step-up</t>
        </is>
      </c>
      <c r="G5516" s="12" t="inlineStr"/>
      <c r="H5516" s="12" t="inlineStr">
        <is>
          <t>T-MOD-2 / T-MOD-3 firewall</t>
        </is>
      </c>
      <c r="I5516" s="12" t="inlineStr">
        <is>
          <t>LV 600 V</t>
        </is>
      </c>
      <c r="J5516" s="12" t="inlineStr">
        <is>
          <t>Type TC-ER 600 V 3/C Cu XHHW-2 + ground, PVC jacket</t>
        </is>
      </c>
      <c r="K5516" s="12" t="inlineStr">
        <is>
          <t>LV|3/C+G|10</t>
        </is>
      </c>
      <c r="L5516" s="12" t="inlineStr">
        <is>
          <t>3/C+G</t>
        </is>
      </c>
      <c r="M5516" s="12" t="inlineStr">
        <is>
          <t>10</t>
        </is>
      </c>
      <c r="N5516" s="12" t="n">
        <v>1</v>
      </c>
      <c r="O5516" s="12" t="n">
        <v>1</v>
      </c>
      <c r="P5516" s="12" t="n">
        <v>480</v>
      </c>
      <c r="Q5516" s="12" t="n">
        <v>2</v>
      </c>
      <c r="R5516" s="12" t="n">
        <v>2.8</v>
      </c>
      <c r="S5516" s="12" t="inlineStr">
        <is>
          <t>Duct bank</t>
        </is>
      </c>
      <c r="T5516" s="15" t="n">
        <v>290</v>
      </c>
      <c r="U5516" s="15" t="n">
        <v>60</v>
      </c>
      <c r="V5516" s="15">
        <f>ROUNDUP((T5516+U5516+2*'Read Me'!$B$13)*(1+'Read Me'!$B$12),-1)</f>
        <v/>
      </c>
      <c r="W5516" s="15">
        <f>V5516*N5516*O5516</f>
        <v/>
      </c>
      <c r="X5516" s="12">
        <f>IF(LEFT(I5516,2)="MV",2*N5516*IF(L5516="1/C",O5516,1),0)</f>
        <v/>
      </c>
      <c r="Y5516" s="12">
        <f>IF(OR(LEFT(K5516,4)="LVAX",LEFT(K5516,6)="MV15AX",LEFT(K5516,4)="CTAX",LEFT(K5516,2)="W|"),2*N5516*O5516,0)</f>
        <v/>
      </c>
      <c r="Z5516" s="12" t="inlineStr">
        <is>
          <t>VD 0.5 %</t>
        </is>
      </c>
      <c r="AA5516" s="12">
        <f>N5516*O5516</f>
        <v/>
      </c>
    </row>
    <row r="5517">
      <c r="A5517" s="12" t="inlineStr">
        <is>
          <t>I-P-0338</t>
        </is>
      </c>
      <c r="B5517" s="12" t="inlineStr">
        <is>
          <t>I</t>
        </is>
      </c>
      <c r="C5517" s="12" t="inlineStr">
        <is>
          <t>Modular / portable power</t>
        </is>
      </c>
      <c r="D5517" s="12" t="inlineStr">
        <is>
          <t>Motor 3 of 6, 2 kW</t>
        </is>
      </c>
      <c r="E5517" s="12" t="inlineStr"/>
      <c r="F5517" s="12" t="inlineStr">
        <is>
          <t>MOD-LV 480 V board + 480 V : 13.8 kV step-up</t>
        </is>
      </c>
      <c r="G5517" s="12" t="inlineStr"/>
      <c r="H5517" s="12" t="inlineStr">
        <is>
          <t>T-MOD-2 / T-MOD-3 firewall</t>
        </is>
      </c>
      <c r="I5517" s="12" t="inlineStr">
        <is>
          <t>LV 600 V</t>
        </is>
      </c>
      <c r="J5517" s="12" t="inlineStr">
        <is>
          <t>Type TC-ER 600 V 3/C Cu XHHW-2 + ground, PVC jacket</t>
        </is>
      </c>
      <c r="K5517" s="12" t="inlineStr">
        <is>
          <t>LV|3/C+G|10</t>
        </is>
      </c>
      <c r="L5517" s="12" t="inlineStr">
        <is>
          <t>3/C+G</t>
        </is>
      </c>
      <c r="M5517" s="12" t="inlineStr">
        <is>
          <t>10</t>
        </is>
      </c>
      <c r="N5517" s="12" t="n">
        <v>1</v>
      </c>
      <c r="O5517" s="12" t="n">
        <v>1</v>
      </c>
      <c r="P5517" s="12" t="n">
        <v>480</v>
      </c>
      <c r="Q5517" s="12" t="n">
        <v>2</v>
      </c>
      <c r="R5517" s="12" t="n">
        <v>2.8</v>
      </c>
      <c r="S5517" s="12" t="inlineStr">
        <is>
          <t>Duct bank</t>
        </is>
      </c>
      <c r="T5517" s="15" t="n">
        <v>290</v>
      </c>
      <c r="U5517" s="15" t="n">
        <v>60</v>
      </c>
      <c r="V5517" s="15">
        <f>ROUNDUP((T5517+U5517+2*'Read Me'!$B$13)*(1+'Read Me'!$B$12),-1)</f>
        <v/>
      </c>
      <c r="W5517" s="15">
        <f>V5517*N5517*O5517</f>
        <v/>
      </c>
      <c r="X5517" s="12">
        <f>IF(LEFT(I5517,2)="MV",2*N5517*IF(L5517="1/C",O5517,1),0)</f>
        <v/>
      </c>
      <c r="Y5517" s="12">
        <f>IF(OR(LEFT(K5517,4)="LVAX",LEFT(K5517,6)="MV15AX",LEFT(K5517,4)="CTAX",LEFT(K5517,2)="W|"),2*N5517*O5517,0)</f>
        <v/>
      </c>
      <c r="Z5517" s="12" t="inlineStr">
        <is>
          <t>VD 0.5 %</t>
        </is>
      </c>
      <c r="AA5517" s="12">
        <f>N5517*O5517</f>
        <v/>
      </c>
    </row>
    <row r="5518">
      <c r="A5518" s="12" t="inlineStr">
        <is>
          <t>I-P-0339</t>
        </is>
      </c>
      <c r="B5518" s="12" t="inlineStr">
        <is>
          <t>I</t>
        </is>
      </c>
      <c r="C5518" s="12" t="inlineStr">
        <is>
          <t>Modular / portable power</t>
        </is>
      </c>
      <c r="D5518" s="12" t="inlineStr">
        <is>
          <t>Motor 4 of 6, 2 kW</t>
        </is>
      </c>
      <c r="E5518" s="12" t="inlineStr"/>
      <c r="F5518" s="12" t="inlineStr">
        <is>
          <t>MOD-LV 480 V board + 480 V : 13.8 kV step-up</t>
        </is>
      </c>
      <c r="G5518" s="12" t="inlineStr"/>
      <c r="H5518" s="12" t="inlineStr">
        <is>
          <t>T-MOD-2 / T-MOD-3 firewall</t>
        </is>
      </c>
      <c r="I5518" s="12" t="inlineStr">
        <is>
          <t>LV 600 V</t>
        </is>
      </c>
      <c r="J5518" s="12" t="inlineStr">
        <is>
          <t>Type TC-ER 600 V 3/C Cu XHHW-2 + ground, PVC jacket</t>
        </is>
      </c>
      <c r="K5518" s="12" t="inlineStr">
        <is>
          <t>LV|3/C+G|10</t>
        </is>
      </c>
      <c r="L5518" s="12" t="inlineStr">
        <is>
          <t>3/C+G</t>
        </is>
      </c>
      <c r="M5518" s="12" t="inlineStr">
        <is>
          <t>10</t>
        </is>
      </c>
      <c r="N5518" s="12" t="n">
        <v>1</v>
      </c>
      <c r="O5518" s="12" t="n">
        <v>1</v>
      </c>
      <c r="P5518" s="12" t="n">
        <v>480</v>
      </c>
      <c r="Q5518" s="12" t="n">
        <v>2</v>
      </c>
      <c r="R5518" s="12" t="n">
        <v>2.8</v>
      </c>
      <c r="S5518" s="12" t="inlineStr">
        <is>
          <t>Duct bank</t>
        </is>
      </c>
      <c r="T5518" s="15" t="n">
        <v>290</v>
      </c>
      <c r="U5518" s="15" t="n">
        <v>60</v>
      </c>
      <c r="V5518" s="15">
        <f>ROUNDUP((T5518+U5518+2*'Read Me'!$B$13)*(1+'Read Me'!$B$12),-1)</f>
        <v/>
      </c>
      <c r="W5518" s="15">
        <f>V5518*N5518*O5518</f>
        <v/>
      </c>
      <c r="X5518" s="12">
        <f>IF(LEFT(I5518,2)="MV",2*N5518*IF(L5518="1/C",O5518,1),0)</f>
        <v/>
      </c>
      <c r="Y5518" s="12">
        <f>IF(OR(LEFT(K5518,4)="LVAX",LEFT(K5518,6)="MV15AX",LEFT(K5518,4)="CTAX",LEFT(K5518,2)="W|"),2*N5518*O5518,0)</f>
        <v/>
      </c>
      <c r="Z5518" s="12" t="inlineStr">
        <is>
          <t>VD 0.5 %</t>
        </is>
      </c>
      <c r="AA5518" s="12">
        <f>N5518*O5518</f>
        <v/>
      </c>
    </row>
    <row r="5519">
      <c r="A5519" s="12" t="inlineStr">
        <is>
          <t>I-P-0340</t>
        </is>
      </c>
      <c r="B5519" s="12" t="inlineStr">
        <is>
          <t>I</t>
        </is>
      </c>
      <c r="C5519" s="12" t="inlineStr">
        <is>
          <t>Modular / portable power</t>
        </is>
      </c>
      <c r="D5519" s="12" t="inlineStr">
        <is>
          <t>Motor 5 of 6, 2 kW</t>
        </is>
      </c>
      <c r="E5519" s="12" t="inlineStr"/>
      <c r="F5519" s="12" t="inlineStr">
        <is>
          <t>MOD-LV 480 V board + 480 V : 13.8 kV step-up</t>
        </is>
      </c>
      <c r="G5519" s="12" t="inlineStr"/>
      <c r="H5519" s="12" t="inlineStr">
        <is>
          <t>T-MOD-2 / T-MOD-3 firewall</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2</v>
      </c>
      <c r="R5519" s="12" t="n">
        <v>2.8</v>
      </c>
      <c r="S5519" s="12" t="inlineStr">
        <is>
          <t>Duct bank</t>
        </is>
      </c>
      <c r="T5519" s="15" t="n">
        <v>290</v>
      </c>
      <c r="U5519" s="15" t="n">
        <v>60</v>
      </c>
      <c r="V5519" s="15">
        <f>ROUNDUP((T5519+U5519+2*'Read Me'!$B$13)*(1+'Read Me'!$B$12),-1)</f>
        <v/>
      </c>
      <c r="W5519" s="15">
        <f>V5519*N5519*O5519</f>
        <v/>
      </c>
      <c r="X5519" s="12">
        <f>IF(LEFT(I5519,2)="MV",2*N5519*IF(L5519="1/C",O5519,1),0)</f>
        <v/>
      </c>
      <c r="Y5519" s="12">
        <f>IF(OR(LEFT(K5519,4)="LVAX",LEFT(K5519,6)="MV15AX",LEFT(K5519,4)="CTAX",LEFT(K5519,2)="W|"),2*N5519*O5519,0)</f>
        <v/>
      </c>
      <c r="Z5519" s="12" t="inlineStr">
        <is>
          <t>VD 0.5 %</t>
        </is>
      </c>
      <c r="AA5519" s="12">
        <f>N5519*O5519</f>
        <v/>
      </c>
    </row>
    <row r="5520">
      <c r="A5520" s="12" t="inlineStr">
        <is>
          <t>I-P-0341</t>
        </is>
      </c>
      <c r="B5520" s="12" t="inlineStr">
        <is>
          <t>I</t>
        </is>
      </c>
      <c r="C5520" s="12" t="inlineStr">
        <is>
          <t>Modular / portable power</t>
        </is>
      </c>
      <c r="D5520" s="12" t="inlineStr">
        <is>
          <t>Motor 6 of 6, 2 kW</t>
        </is>
      </c>
      <c r="E5520" s="12" t="inlineStr"/>
      <c r="F5520" s="12" t="inlineStr">
        <is>
          <t>MOD-LV 480 V board + 480 V : 13.8 kV step-up</t>
        </is>
      </c>
      <c r="G5520" s="12" t="inlineStr"/>
      <c r="H5520" s="12" t="inlineStr">
        <is>
          <t>T-MOD-2 / T-MOD-3 firewall</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2</v>
      </c>
      <c r="R5520" s="12" t="n">
        <v>2.8</v>
      </c>
      <c r="S5520" s="12" t="inlineStr">
        <is>
          <t>Duct bank</t>
        </is>
      </c>
      <c r="T5520" s="15" t="n">
        <v>290</v>
      </c>
      <c r="U5520" s="15" t="n">
        <v>60</v>
      </c>
      <c r="V5520" s="15">
        <f>ROUNDUP((T5520+U5520+2*'Read Me'!$B$13)*(1+'Read Me'!$B$12),-1)</f>
        <v/>
      </c>
      <c r="W5520" s="15">
        <f>V5520*N5520*O5520</f>
        <v/>
      </c>
      <c r="X5520" s="12">
        <f>IF(LEFT(I5520,2)="MV",2*N5520*IF(L5520="1/C",O5520,1),0)</f>
        <v/>
      </c>
      <c r="Y5520" s="12">
        <f>IF(OR(LEFT(K5520,4)="LVAX",LEFT(K5520,6)="MV15AX",LEFT(K5520,4)="CTAX",LEFT(K5520,2)="W|"),2*N5520*O5520,0)</f>
        <v/>
      </c>
      <c r="Z5520" s="12" t="inlineStr">
        <is>
          <t>VD 0.5 %</t>
        </is>
      </c>
      <c r="AA5520" s="12">
        <f>N5520*O5520</f>
        <v/>
      </c>
    </row>
    <row r="5521">
      <c r="A5521" s="12" t="inlineStr">
        <is>
          <t>I-P-0342</t>
        </is>
      </c>
      <c r="B5521" s="12" t="inlineStr">
        <is>
          <t>I</t>
        </is>
      </c>
      <c r="C5521" s="12" t="inlineStr">
        <is>
          <t>Modular / portable power</t>
        </is>
      </c>
      <c r="D5521" s="12" t="inlineStr">
        <is>
          <t>Motor 1 of 6, 2 kW</t>
        </is>
      </c>
      <c r="E5521" s="12" t="inlineStr"/>
      <c r="F5521" s="12" t="inlineStr">
        <is>
          <t>MOD-LV 480 V board + 480 V : 13.8 kV step-up</t>
        </is>
      </c>
      <c r="G5521" s="12" t="inlineStr">
        <is>
          <t>T-MOD-2</t>
        </is>
      </c>
      <c r="H5521" s="12" t="inlineStr">
        <is>
          <t>T-MOD-2: 230 / 34.5 kV</t>
        </is>
      </c>
      <c r="I5521" s="12" t="inlineStr">
        <is>
          <t>LV 600 V</t>
        </is>
      </c>
      <c r="J5521" s="12" t="inlineStr">
        <is>
          <t>Type TC-ER 600 V 3/C Cu XHHW-2 + ground, PVC jacket</t>
        </is>
      </c>
      <c r="K5521" s="12" t="inlineStr">
        <is>
          <t>LV|3/C+G|10</t>
        </is>
      </c>
      <c r="L5521" s="12" t="inlineStr">
        <is>
          <t>3/C+G</t>
        </is>
      </c>
      <c r="M5521" s="12" t="inlineStr">
        <is>
          <t>10</t>
        </is>
      </c>
      <c r="N5521" s="12" t="n">
        <v>1</v>
      </c>
      <c r="O5521" s="12" t="n">
        <v>1</v>
      </c>
      <c r="P5521" s="12" t="n">
        <v>480</v>
      </c>
      <c r="Q5521" s="12" t="n">
        <v>2</v>
      </c>
      <c r="R5521" s="12" t="n">
        <v>2.8</v>
      </c>
      <c r="S5521" s="12" t="inlineStr">
        <is>
          <t>Duct bank</t>
        </is>
      </c>
      <c r="T5521" s="15" t="n">
        <v>290</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is>
          <t>VD 0.5 %</t>
        </is>
      </c>
      <c r="AA5521" s="12">
        <f>N5521*O5521</f>
        <v/>
      </c>
    </row>
    <row r="5522">
      <c r="A5522" s="12" t="inlineStr">
        <is>
          <t>I-P-0343</t>
        </is>
      </c>
      <c r="B5522" s="12" t="inlineStr">
        <is>
          <t>I</t>
        </is>
      </c>
      <c r="C5522" s="12" t="inlineStr">
        <is>
          <t>Modular / portable power</t>
        </is>
      </c>
      <c r="D5522" s="12" t="inlineStr">
        <is>
          <t>Motor 2 of 6, 2 kW</t>
        </is>
      </c>
      <c r="E5522" s="12" t="inlineStr"/>
      <c r="F5522" s="12" t="inlineStr">
        <is>
          <t>MOD-LV 480 V board + 480 V : 13.8 kV step-up</t>
        </is>
      </c>
      <c r="G5522" s="12" t="inlineStr">
        <is>
          <t>T-MOD-2</t>
        </is>
      </c>
      <c r="H5522" s="12" t="inlineStr">
        <is>
          <t>T-MOD-2: 230 / 34.5 kV</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2</v>
      </c>
      <c r="R5522" s="12" t="n">
        <v>2.8</v>
      </c>
      <c r="S5522" s="12" t="inlineStr">
        <is>
          <t>Duct bank</t>
        </is>
      </c>
      <c r="T5522" s="15" t="n">
        <v>290</v>
      </c>
      <c r="U5522" s="15" t="n">
        <v>61</v>
      </c>
      <c r="V5522" s="15">
        <f>ROUNDUP((T5522+U5522+2*'Read Me'!$B$13)*(1+'Read Me'!$B$12),-1)</f>
        <v/>
      </c>
      <c r="W5522" s="15">
        <f>V5522*N5522*O5522</f>
        <v/>
      </c>
      <c r="X5522" s="12">
        <f>IF(LEFT(I5522,2)="MV",2*N5522*IF(L5522="1/C",O5522,1),0)</f>
        <v/>
      </c>
      <c r="Y5522" s="12">
        <f>IF(OR(LEFT(K5522,4)="LVAX",LEFT(K5522,6)="MV15AX",LEFT(K5522,4)="CTAX",LEFT(K5522,2)="W|"),2*N5522*O5522,0)</f>
        <v/>
      </c>
      <c r="Z5522" s="12" t="inlineStr">
        <is>
          <t>VD 0.5 %</t>
        </is>
      </c>
      <c r="AA5522" s="12">
        <f>N5522*O5522</f>
        <v/>
      </c>
    </row>
    <row r="5523">
      <c r="A5523" s="12" t="inlineStr">
        <is>
          <t>I-P-0344</t>
        </is>
      </c>
      <c r="B5523" s="12" t="inlineStr">
        <is>
          <t>I</t>
        </is>
      </c>
      <c r="C5523" s="12" t="inlineStr">
        <is>
          <t>Modular / portable power</t>
        </is>
      </c>
      <c r="D5523" s="12" t="inlineStr">
        <is>
          <t>Motor 3 of 6, 2 kW</t>
        </is>
      </c>
      <c r="E5523" s="12" t="inlineStr"/>
      <c r="F5523" s="12" t="inlineStr">
        <is>
          <t>MOD-LV 480 V board + 480 V : 13.8 kV step-up</t>
        </is>
      </c>
      <c r="G5523" s="12" t="inlineStr">
        <is>
          <t>T-MOD-2</t>
        </is>
      </c>
      <c r="H5523" s="12" t="inlineStr">
        <is>
          <t>T-MOD-2: 230 / 34.5 kV</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2</v>
      </c>
      <c r="R5523" s="12" t="n">
        <v>2.8</v>
      </c>
      <c r="S5523" s="12" t="inlineStr">
        <is>
          <t>Duct bank</t>
        </is>
      </c>
      <c r="T5523" s="15" t="n">
        <v>290</v>
      </c>
      <c r="U5523" s="15" t="n">
        <v>61</v>
      </c>
      <c r="V5523" s="15">
        <f>ROUNDUP((T5523+U5523+2*'Read Me'!$B$13)*(1+'Read Me'!$B$12),-1)</f>
        <v/>
      </c>
      <c r="W5523" s="15">
        <f>V5523*N5523*O5523</f>
        <v/>
      </c>
      <c r="X5523" s="12">
        <f>IF(LEFT(I5523,2)="MV",2*N5523*IF(L5523="1/C",O5523,1),0)</f>
        <v/>
      </c>
      <c r="Y5523" s="12">
        <f>IF(OR(LEFT(K5523,4)="LVAX",LEFT(K5523,6)="MV15AX",LEFT(K5523,4)="CTAX",LEFT(K5523,2)="W|"),2*N5523*O5523,0)</f>
        <v/>
      </c>
      <c r="Z5523" s="12" t="inlineStr">
        <is>
          <t>VD 0.5 %</t>
        </is>
      </c>
      <c r="AA5523" s="12">
        <f>N5523*O5523</f>
        <v/>
      </c>
    </row>
    <row r="5524">
      <c r="A5524" s="12" t="inlineStr">
        <is>
          <t>I-P-0345</t>
        </is>
      </c>
      <c r="B5524" s="12" t="inlineStr">
        <is>
          <t>I</t>
        </is>
      </c>
      <c r="C5524" s="12" t="inlineStr">
        <is>
          <t>Modular / portable power</t>
        </is>
      </c>
      <c r="D5524" s="12" t="inlineStr">
        <is>
          <t>Motor 4 of 6, 2 kW</t>
        </is>
      </c>
      <c r="E5524" s="12" t="inlineStr"/>
      <c r="F5524" s="12" t="inlineStr">
        <is>
          <t>MOD-LV 480 V board + 480 V : 13.8 kV step-up</t>
        </is>
      </c>
      <c r="G5524" s="12" t="inlineStr">
        <is>
          <t>T-MOD-2</t>
        </is>
      </c>
      <c r="H5524" s="12" t="inlineStr">
        <is>
          <t>T-MOD-2: 230 / 34.5 kV</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2</v>
      </c>
      <c r="R5524" s="12" t="n">
        <v>2.8</v>
      </c>
      <c r="S5524" s="12" t="inlineStr">
        <is>
          <t>Duct bank</t>
        </is>
      </c>
      <c r="T5524" s="15" t="n">
        <v>290</v>
      </c>
      <c r="U5524" s="15" t="n">
        <v>61</v>
      </c>
      <c r="V5524" s="15">
        <f>ROUNDUP((T5524+U5524+2*'Read Me'!$B$13)*(1+'Read Me'!$B$12),-1)</f>
        <v/>
      </c>
      <c r="W5524" s="15">
        <f>V5524*N5524*O5524</f>
        <v/>
      </c>
      <c r="X5524" s="12">
        <f>IF(LEFT(I5524,2)="MV",2*N5524*IF(L5524="1/C",O5524,1),0)</f>
        <v/>
      </c>
      <c r="Y5524" s="12">
        <f>IF(OR(LEFT(K5524,4)="LVAX",LEFT(K5524,6)="MV15AX",LEFT(K5524,4)="CTAX",LEFT(K5524,2)="W|"),2*N5524*O5524,0)</f>
        <v/>
      </c>
      <c r="Z5524" s="12" t="inlineStr">
        <is>
          <t>VD 0.5 %</t>
        </is>
      </c>
      <c r="AA5524" s="12">
        <f>N5524*O5524</f>
        <v/>
      </c>
    </row>
    <row r="5525">
      <c r="A5525" s="12" t="inlineStr">
        <is>
          <t>I-P-0346</t>
        </is>
      </c>
      <c r="B5525" s="12" t="inlineStr">
        <is>
          <t>I</t>
        </is>
      </c>
      <c r="C5525" s="12" t="inlineStr">
        <is>
          <t>Modular / portable power</t>
        </is>
      </c>
      <c r="D5525" s="12" t="inlineStr">
        <is>
          <t>Motor 5 of 6, 2 kW</t>
        </is>
      </c>
      <c r="E5525" s="12" t="inlineStr"/>
      <c r="F5525" s="12" t="inlineStr">
        <is>
          <t>MOD-LV 480 V board + 480 V : 13.8 kV step-up</t>
        </is>
      </c>
      <c r="G5525" s="12" t="inlineStr">
        <is>
          <t>T-MOD-2</t>
        </is>
      </c>
      <c r="H5525" s="12" t="inlineStr">
        <is>
          <t>T-MOD-2: 230 / 34.5 kV</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2</v>
      </c>
      <c r="R5525" s="12" t="n">
        <v>2.8</v>
      </c>
      <c r="S5525" s="12" t="inlineStr">
        <is>
          <t>Duct bank</t>
        </is>
      </c>
      <c r="T5525" s="15" t="n">
        <v>290</v>
      </c>
      <c r="U5525" s="15" t="n">
        <v>61</v>
      </c>
      <c r="V5525" s="15">
        <f>ROUNDUP((T5525+U5525+2*'Read Me'!$B$13)*(1+'Read Me'!$B$12),-1)</f>
        <v/>
      </c>
      <c r="W5525" s="15">
        <f>V5525*N5525*O5525</f>
        <v/>
      </c>
      <c r="X5525" s="12">
        <f>IF(LEFT(I5525,2)="MV",2*N5525*IF(L5525="1/C",O5525,1),0)</f>
        <v/>
      </c>
      <c r="Y5525" s="12">
        <f>IF(OR(LEFT(K5525,4)="LVAX",LEFT(K5525,6)="MV15AX",LEFT(K5525,4)="CTAX",LEFT(K5525,2)="W|"),2*N5525*O5525,0)</f>
        <v/>
      </c>
      <c r="Z5525" s="12" t="inlineStr">
        <is>
          <t>VD 0.5 %</t>
        </is>
      </c>
      <c r="AA5525" s="12">
        <f>N5525*O5525</f>
        <v/>
      </c>
    </row>
    <row r="5526">
      <c r="A5526" s="12" t="inlineStr">
        <is>
          <t>I-P-0347</t>
        </is>
      </c>
      <c r="B5526" s="12" t="inlineStr">
        <is>
          <t>I</t>
        </is>
      </c>
      <c r="C5526" s="12" t="inlineStr">
        <is>
          <t>Modular / portable power</t>
        </is>
      </c>
      <c r="D5526" s="12" t="inlineStr">
        <is>
          <t>Motor 6 of 6, 2 kW</t>
        </is>
      </c>
      <c r="E5526" s="12" t="inlineStr"/>
      <c r="F5526" s="12" t="inlineStr">
        <is>
          <t>MOD-LV 480 V board + 480 V : 13.8 kV step-up</t>
        </is>
      </c>
      <c r="G5526" s="12" t="inlineStr">
        <is>
          <t>T-MOD-2</t>
        </is>
      </c>
      <c r="H5526" s="12" t="inlineStr">
        <is>
          <t>T-MOD-2: 230 / 34.5 kV</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2</v>
      </c>
      <c r="R5526" s="12" t="n">
        <v>2.8</v>
      </c>
      <c r="S5526" s="12" t="inlineStr">
        <is>
          <t>Duct bank</t>
        </is>
      </c>
      <c r="T5526" s="15" t="n">
        <v>290</v>
      </c>
      <c r="U5526" s="15" t="n">
        <v>61</v>
      </c>
      <c r="V5526" s="15">
        <f>ROUNDUP((T5526+U5526+2*'Read Me'!$B$13)*(1+'Read Me'!$B$12),-1)</f>
        <v/>
      </c>
      <c r="W5526" s="15">
        <f>V5526*N5526*O5526</f>
        <v/>
      </c>
      <c r="X5526" s="12">
        <f>IF(LEFT(I5526,2)="MV",2*N5526*IF(L5526="1/C",O5526,1),0)</f>
        <v/>
      </c>
      <c r="Y5526" s="12">
        <f>IF(OR(LEFT(K5526,4)="LVAX",LEFT(K5526,6)="MV15AX",LEFT(K5526,4)="CTAX",LEFT(K5526,2)="W|"),2*N5526*O5526,0)</f>
        <v/>
      </c>
      <c r="Z5526" s="12" t="inlineStr">
        <is>
          <t>VD 0.5 %</t>
        </is>
      </c>
      <c r="AA5526" s="12">
        <f>N5526*O5526</f>
        <v/>
      </c>
    </row>
    <row r="5527">
      <c r="A5527" s="12" t="inlineStr">
        <is>
          <t>I-P-0348</t>
        </is>
      </c>
      <c r="B5527" s="12" t="inlineStr">
        <is>
          <t>I</t>
        </is>
      </c>
      <c r="C5527" s="12" t="inlineStr">
        <is>
          <t>Modular / portable power</t>
        </is>
      </c>
      <c r="D5527" s="12" t="inlineStr">
        <is>
          <t>Motor 1 of 6, 2 kW</t>
        </is>
      </c>
      <c r="E5527" s="12" t="inlineStr"/>
      <c r="F5527" s="12" t="inlineStr">
        <is>
          <t>MOD-LV 480 V board + 480 V : 13.8 kV step-up</t>
        </is>
      </c>
      <c r="G5527" s="12" t="inlineStr"/>
      <c r="H5527" s="12" t="inlineStr">
        <is>
          <t>T-MOD-3 230 kV gantry extension with arresters</t>
        </is>
      </c>
      <c r="I5527" s="12" t="inlineStr">
        <is>
          <t>LV 600 V</t>
        </is>
      </c>
      <c r="J5527" s="12" t="inlineStr">
        <is>
          <t>Type TC-ER 600 V 3/C Cu XHHW-2 + ground, PVC jacket</t>
        </is>
      </c>
      <c r="K5527" s="12" t="inlineStr">
        <is>
          <t>LV|3/C+G|10</t>
        </is>
      </c>
      <c r="L5527" s="12" t="inlineStr">
        <is>
          <t>3/C+G</t>
        </is>
      </c>
      <c r="M5527" s="12" t="inlineStr">
        <is>
          <t>10</t>
        </is>
      </c>
      <c r="N5527" s="12" t="n">
        <v>1</v>
      </c>
      <c r="O5527" s="12" t="n">
        <v>1</v>
      </c>
      <c r="P5527" s="12" t="n">
        <v>480</v>
      </c>
      <c r="Q5527" s="12" t="n">
        <v>2</v>
      </c>
      <c r="R5527" s="12" t="n">
        <v>2.8</v>
      </c>
      <c r="S5527" s="12" t="inlineStr">
        <is>
          <t>Duct bank</t>
        </is>
      </c>
      <c r="T5527" s="15" t="n">
        <v>290</v>
      </c>
      <c r="U5527" s="15" t="n">
        <v>36</v>
      </c>
      <c r="V5527" s="15">
        <f>ROUNDUP((T5527+U5527+2*'Read Me'!$B$13)*(1+'Read Me'!$B$12),-1)</f>
        <v/>
      </c>
      <c r="W5527" s="15">
        <f>V5527*N5527*O5527</f>
        <v/>
      </c>
      <c r="X5527" s="12">
        <f>IF(LEFT(I5527,2)="MV",2*N5527*IF(L5527="1/C",O5527,1),0)</f>
        <v/>
      </c>
      <c r="Y5527" s="12">
        <f>IF(OR(LEFT(K5527,4)="LVAX",LEFT(K5527,6)="MV15AX",LEFT(K5527,4)="CTAX",LEFT(K5527,2)="W|"),2*N5527*O5527,0)</f>
        <v/>
      </c>
      <c r="Z5527" s="12" t="inlineStr">
        <is>
          <t>VD 0.4 %</t>
        </is>
      </c>
      <c r="AA5527" s="12">
        <f>N5527*O5527</f>
        <v/>
      </c>
    </row>
    <row r="5528">
      <c r="A5528" s="12" t="inlineStr">
        <is>
          <t>I-P-0349</t>
        </is>
      </c>
      <c r="B5528" s="12" t="inlineStr">
        <is>
          <t>I</t>
        </is>
      </c>
      <c r="C5528" s="12" t="inlineStr">
        <is>
          <t>Modular / portable power</t>
        </is>
      </c>
      <c r="D5528" s="12" t="inlineStr">
        <is>
          <t>Motor 2 of 6, 2 kW</t>
        </is>
      </c>
      <c r="E5528" s="12" t="inlineStr"/>
      <c r="F5528" s="12" t="inlineStr">
        <is>
          <t>MOD-LV 480 V board + 480 V : 13.8 kV step-up</t>
        </is>
      </c>
      <c r="G5528" s="12" t="inlineStr"/>
      <c r="H5528" s="12" t="inlineStr">
        <is>
          <t>T-MOD-3 230 kV gantry extension with arresters</t>
        </is>
      </c>
      <c r="I5528" s="12" t="inlineStr">
        <is>
          <t>LV 600 V</t>
        </is>
      </c>
      <c r="J5528" s="12" t="inlineStr">
        <is>
          <t>Type TC-ER 600 V 3/C Cu XHHW-2 + ground, PVC jacket</t>
        </is>
      </c>
      <c r="K5528" s="12" t="inlineStr">
        <is>
          <t>LV|3/C+G|10</t>
        </is>
      </c>
      <c r="L5528" s="12" t="inlineStr">
        <is>
          <t>3/C+G</t>
        </is>
      </c>
      <c r="M5528" s="12" t="inlineStr">
        <is>
          <t>10</t>
        </is>
      </c>
      <c r="N5528" s="12" t="n">
        <v>1</v>
      </c>
      <c r="O5528" s="12" t="n">
        <v>1</v>
      </c>
      <c r="P5528" s="12" t="n">
        <v>480</v>
      </c>
      <c r="Q5528" s="12" t="n">
        <v>2</v>
      </c>
      <c r="R5528" s="12" t="n">
        <v>2.8</v>
      </c>
      <c r="S5528" s="12" t="inlineStr">
        <is>
          <t>Duct bank</t>
        </is>
      </c>
      <c r="T5528" s="15" t="n">
        <v>290</v>
      </c>
      <c r="U5528" s="15" t="n">
        <v>36</v>
      </c>
      <c r="V5528" s="15">
        <f>ROUNDUP((T5528+U5528+2*'Read Me'!$B$13)*(1+'Read Me'!$B$12),-1)</f>
        <v/>
      </c>
      <c r="W5528" s="15">
        <f>V5528*N5528*O5528</f>
        <v/>
      </c>
      <c r="X5528" s="12">
        <f>IF(LEFT(I5528,2)="MV",2*N5528*IF(L5528="1/C",O5528,1),0)</f>
        <v/>
      </c>
      <c r="Y5528" s="12">
        <f>IF(OR(LEFT(K5528,4)="LVAX",LEFT(K5528,6)="MV15AX",LEFT(K5528,4)="CTAX",LEFT(K5528,2)="W|"),2*N5528*O5528,0)</f>
        <v/>
      </c>
      <c r="Z5528" s="12" t="inlineStr">
        <is>
          <t>VD 0.4 %</t>
        </is>
      </c>
      <c r="AA5528" s="12">
        <f>N5528*O5528</f>
        <v/>
      </c>
    </row>
    <row r="5529">
      <c r="A5529" s="12" t="inlineStr">
        <is>
          <t>I-P-0350</t>
        </is>
      </c>
      <c r="B5529" s="12" t="inlineStr">
        <is>
          <t>I</t>
        </is>
      </c>
      <c r="C5529" s="12" t="inlineStr">
        <is>
          <t>Modular / portable power</t>
        </is>
      </c>
      <c r="D5529" s="12" t="inlineStr">
        <is>
          <t>Motor 3 of 6, 2 kW</t>
        </is>
      </c>
      <c r="E5529" s="12" t="inlineStr"/>
      <c r="F5529" s="12" t="inlineStr">
        <is>
          <t>MOD-LV 480 V board + 480 V : 13.8 kV step-up</t>
        </is>
      </c>
      <c r="G5529" s="12" t="inlineStr"/>
      <c r="H5529" s="12" t="inlineStr">
        <is>
          <t>T-MOD-3 230 kV gantry extension with arresters</t>
        </is>
      </c>
      <c r="I5529" s="12" t="inlineStr">
        <is>
          <t>LV 600 V</t>
        </is>
      </c>
      <c r="J5529" s="12" t="inlineStr">
        <is>
          <t>Type TC-ER 600 V 3/C Cu XHHW-2 + ground, PVC jacket</t>
        </is>
      </c>
      <c r="K5529" s="12" t="inlineStr">
        <is>
          <t>LV|3/C+G|10</t>
        </is>
      </c>
      <c r="L5529" s="12" t="inlineStr">
        <is>
          <t>3/C+G</t>
        </is>
      </c>
      <c r="M5529" s="12" t="inlineStr">
        <is>
          <t>10</t>
        </is>
      </c>
      <c r="N5529" s="12" t="n">
        <v>1</v>
      </c>
      <c r="O5529" s="12" t="n">
        <v>1</v>
      </c>
      <c r="P5529" s="12" t="n">
        <v>480</v>
      </c>
      <c r="Q5529" s="12" t="n">
        <v>2</v>
      </c>
      <c r="R5529" s="12" t="n">
        <v>2.8</v>
      </c>
      <c r="S5529" s="12" t="inlineStr">
        <is>
          <t>Duct bank</t>
        </is>
      </c>
      <c r="T5529" s="15" t="n">
        <v>290</v>
      </c>
      <c r="U5529" s="15" t="n">
        <v>36</v>
      </c>
      <c r="V5529" s="15">
        <f>ROUNDUP((T5529+U5529+2*'Read Me'!$B$13)*(1+'Read Me'!$B$12),-1)</f>
        <v/>
      </c>
      <c r="W5529" s="15">
        <f>V5529*N5529*O5529</f>
        <v/>
      </c>
      <c r="X5529" s="12">
        <f>IF(LEFT(I5529,2)="MV",2*N5529*IF(L5529="1/C",O5529,1),0)</f>
        <v/>
      </c>
      <c r="Y5529" s="12">
        <f>IF(OR(LEFT(K5529,4)="LVAX",LEFT(K5529,6)="MV15AX",LEFT(K5529,4)="CTAX",LEFT(K5529,2)="W|"),2*N5529*O5529,0)</f>
        <v/>
      </c>
      <c r="Z5529" s="12" t="inlineStr">
        <is>
          <t>VD 0.4 %</t>
        </is>
      </c>
      <c r="AA5529" s="12">
        <f>N5529*O5529</f>
        <v/>
      </c>
    </row>
    <row r="5530">
      <c r="A5530" s="12" t="inlineStr">
        <is>
          <t>I-P-0351</t>
        </is>
      </c>
      <c r="B5530" s="12" t="inlineStr">
        <is>
          <t>I</t>
        </is>
      </c>
      <c r="C5530" s="12" t="inlineStr">
        <is>
          <t>Modular / portable power</t>
        </is>
      </c>
      <c r="D5530" s="12" t="inlineStr">
        <is>
          <t>Motor 4 of 6, 2 kW</t>
        </is>
      </c>
      <c r="E5530" s="12" t="inlineStr"/>
      <c r="F5530" s="12" t="inlineStr">
        <is>
          <t>MOD-LV 480 V board + 480 V : 13.8 kV step-up</t>
        </is>
      </c>
      <c r="G5530" s="12" t="inlineStr"/>
      <c r="H5530" s="12" t="inlineStr">
        <is>
          <t>T-MOD-3 230 kV gantry extension with arresters</t>
        </is>
      </c>
      <c r="I5530" s="12" t="inlineStr">
        <is>
          <t>LV 600 V</t>
        </is>
      </c>
      <c r="J5530" s="12" t="inlineStr">
        <is>
          <t>Type TC-ER 600 V 3/C Cu XHHW-2 + ground, PVC jacket</t>
        </is>
      </c>
      <c r="K5530" s="12" t="inlineStr">
        <is>
          <t>LV|3/C+G|10</t>
        </is>
      </c>
      <c r="L5530" s="12" t="inlineStr">
        <is>
          <t>3/C+G</t>
        </is>
      </c>
      <c r="M5530" s="12" t="inlineStr">
        <is>
          <t>10</t>
        </is>
      </c>
      <c r="N5530" s="12" t="n">
        <v>1</v>
      </c>
      <c r="O5530" s="12" t="n">
        <v>1</v>
      </c>
      <c r="P5530" s="12" t="n">
        <v>480</v>
      </c>
      <c r="Q5530" s="12" t="n">
        <v>2</v>
      </c>
      <c r="R5530" s="12" t="n">
        <v>2.8</v>
      </c>
      <c r="S5530" s="12" t="inlineStr">
        <is>
          <t>Duct bank</t>
        </is>
      </c>
      <c r="T5530" s="15" t="n">
        <v>290</v>
      </c>
      <c r="U5530" s="15" t="n">
        <v>36</v>
      </c>
      <c r="V5530" s="15">
        <f>ROUNDUP((T5530+U5530+2*'Read Me'!$B$13)*(1+'Read Me'!$B$12),-1)</f>
        <v/>
      </c>
      <c r="W5530" s="15">
        <f>V5530*N5530*O5530</f>
        <v/>
      </c>
      <c r="X5530" s="12">
        <f>IF(LEFT(I5530,2)="MV",2*N5530*IF(L5530="1/C",O5530,1),0)</f>
        <v/>
      </c>
      <c r="Y5530" s="12">
        <f>IF(OR(LEFT(K5530,4)="LVAX",LEFT(K5530,6)="MV15AX",LEFT(K5530,4)="CTAX",LEFT(K5530,2)="W|"),2*N5530*O5530,0)</f>
        <v/>
      </c>
      <c r="Z5530" s="12" t="inlineStr">
        <is>
          <t>VD 0.4 %</t>
        </is>
      </c>
      <c r="AA5530" s="12">
        <f>N5530*O5530</f>
        <v/>
      </c>
    </row>
    <row r="5531">
      <c r="A5531" s="12" t="inlineStr">
        <is>
          <t>I-P-0352</t>
        </is>
      </c>
      <c r="B5531" s="12" t="inlineStr">
        <is>
          <t>I</t>
        </is>
      </c>
      <c r="C5531" s="12" t="inlineStr">
        <is>
          <t>Modular / portable power</t>
        </is>
      </c>
      <c r="D5531" s="12" t="inlineStr">
        <is>
          <t>Motor 5 of 6, 2 kW</t>
        </is>
      </c>
      <c r="E5531" s="12" t="inlineStr"/>
      <c r="F5531" s="12" t="inlineStr">
        <is>
          <t>MOD-LV 480 V board + 480 V : 13.8 kV step-up</t>
        </is>
      </c>
      <c r="G5531" s="12" t="inlineStr"/>
      <c r="H5531" s="12" t="inlineStr">
        <is>
          <t>T-MOD-3 230 kV gantry extension with arresters</t>
        </is>
      </c>
      <c r="I5531" s="12" t="inlineStr">
        <is>
          <t>LV 600 V</t>
        </is>
      </c>
      <c r="J5531" s="12" t="inlineStr">
        <is>
          <t>Type TC-ER 600 V 3/C Cu XHHW-2 + ground, PVC jacket</t>
        </is>
      </c>
      <c r="K5531" s="12" t="inlineStr">
        <is>
          <t>LV|3/C+G|10</t>
        </is>
      </c>
      <c r="L5531" s="12" t="inlineStr">
        <is>
          <t>3/C+G</t>
        </is>
      </c>
      <c r="M5531" s="12" t="inlineStr">
        <is>
          <t>10</t>
        </is>
      </c>
      <c r="N5531" s="12" t="n">
        <v>1</v>
      </c>
      <c r="O5531" s="12" t="n">
        <v>1</v>
      </c>
      <c r="P5531" s="12" t="n">
        <v>480</v>
      </c>
      <c r="Q5531" s="12" t="n">
        <v>2</v>
      </c>
      <c r="R5531" s="12" t="n">
        <v>2.8</v>
      </c>
      <c r="S5531" s="12" t="inlineStr">
        <is>
          <t>Duct bank</t>
        </is>
      </c>
      <c r="T5531" s="15" t="n">
        <v>290</v>
      </c>
      <c r="U5531" s="15" t="n">
        <v>36</v>
      </c>
      <c r="V5531" s="15">
        <f>ROUNDUP((T5531+U5531+2*'Read Me'!$B$13)*(1+'Read Me'!$B$12),-1)</f>
        <v/>
      </c>
      <c r="W5531" s="15">
        <f>V5531*N5531*O5531</f>
        <v/>
      </c>
      <c r="X5531" s="12">
        <f>IF(LEFT(I5531,2)="MV",2*N5531*IF(L5531="1/C",O5531,1),0)</f>
        <v/>
      </c>
      <c r="Y5531" s="12">
        <f>IF(OR(LEFT(K5531,4)="LVAX",LEFT(K5531,6)="MV15AX",LEFT(K5531,4)="CTAX",LEFT(K5531,2)="W|"),2*N5531*O5531,0)</f>
        <v/>
      </c>
      <c r="Z5531" s="12" t="inlineStr">
        <is>
          <t>VD 0.4 %</t>
        </is>
      </c>
      <c r="AA5531" s="12">
        <f>N5531*O5531</f>
        <v/>
      </c>
    </row>
    <row r="5532">
      <c r="A5532" s="12" t="inlineStr">
        <is>
          <t>I-P-0353</t>
        </is>
      </c>
      <c r="B5532" s="12" t="inlineStr">
        <is>
          <t>I</t>
        </is>
      </c>
      <c r="C5532" s="12" t="inlineStr">
        <is>
          <t>Modular / portable power</t>
        </is>
      </c>
      <c r="D5532" s="12" t="inlineStr">
        <is>
          <t>Motor 6 of 6, 2 kW</t>
        </is>
      </c>
      <c r="E5532" s="12" t="inlineStr"/>
      <c r="F5532" s="12" t="inlineStr">
        <is>
          <t>MOD-LV 480 V board + 480 V : 13.8 kV step-up</t>
        </is>
      </c>
      <c r="G5532" s="12" t="inlineStr"/>
      <c r="H5532" s="12" t="inlineStr">
        <is>
          <t>T-MOD-3 230 kV gantry extension with arresters</t>
        </is>
      </c>
      <c r="I5532" s="12" t="inlineStr">
        <is>
          <t>LV 600 V</t>
        </is>
      </c>
      <c r="J5532" s="12" t="inlineStr">
        <is>
          <t>Type TC-ER 600 V 3/C Cu XHHW-2 + ground, PVC jacket</t>
        </is>
      </c>
      <c r="K5532" s="12" t="inlineStr">
        <is>
          <t>LV|3/C+G|10</t>
        </is>
      </c>
      <c r="L5532" s="12" t="inlineStr">
        <is>
          <t>3/C+G</t>
        </is>
      </c>
      <c r="M5532" s="12" t="inlineStr">
        <is>
          <t>10</t>
        </is>
      </c>
      <c r="N5532" s="12" t="n">
        <v>1</v>
      </c>
      <c r="O5532" s="12" t="n">
        <v>1</v>
      </c>
      <c r="P5532" s="12" t="n">
        <v>480</v>
      </c>
      <c r="Q5532" s="12" t="n">
        <v>2</v>
      </c>
      <c r="R5532" s="12" t="n">
        <v>2.8</v>
      </c>
      <c r="S5532" s="12" t="inlineStr">
        <is>
          <t>Duct bank</t>
        </is>
      </c>
      <c r="T5532" s="15" t="n">
        <v>290</v>
      </c>
      <c r="U5532" s="15" t="n">
        <v>36</v>
      </c>
      <c r="V5532" s="15">
        <f>ROUNDUP((T5532+U5532+2*'Read Me'!$B$13)*(1+'Read Me'!$B$12),-1)</f>
        <v/>
      </c>
      <c r="W5532" s="15">
        <f>V5532*N5532*O5532</f>
        <v/>
      </c>
      <c r="X5532" s="12">
        <f>IF(LEFT(I5532,2)="MV",2*N5532*IF(L5532="1/C",O5532,1),0)</f>
        <v/>
      </c>
      <c r="Y5532" s="12">
        <f>IF(OR(LEFT(K5532,4)="LVAX",LEFT(K5532,6)="MV15AX",LEFT(K5532,4)="CTAX",LEFT(K5532,2)="W|"),2*N5532*O5532,0)</f>
        <v/>
      </c>
      <c r="Z5532" s="12" t="inlineStr">
        <is>
          <t>VD 0.4 %</t>
        </is>
      </c>
      <c r="AA5532" s="12">
        <f>N5532*O5532</f>
        <v/>
      </c>
    </row>
    <row r="5533">
      <c r="A5533" s="12" t="inlineStr">
        <is>
          <t>I-P-0354</t>
        </is>
      </c>
      <c r="B5533" s="12" t="inlineStr">
        <is>
          <t>I</t>
        </is>
      </c>
      <c r="C5533" s="12" t="inlineStr">
        <is>
          <t>Modular / portable power</t>
        </is>
      </c>
      <c r="D5533" s="12" t="inlineStr">
        <is>
          <t>TGF-SWG station service from its internal 480 V aux transformer: charger, heaters, HVAC</t>
        </is>
      </c>
      <c r="E5533" s="12" t="inlineStr">
        <is>
          <t>TGF-SWG</t>
        </is>
      </c>
      <c r="F5533" s="12" t="inlineStr">
        <is>
          <t>TGF-SWG: mobile 13.8 kV switchgear trailer (fleet collector)</t>
        </is>
      </c>
      <c r="G5533" s="12" t="inlineStr">
        <is>
          <t>TGF-SWG</t>
        </is>
      </c>
      <c r="H5533" s="12" t="inlineStr">
        <is>
          <t>TGF-SWG: mobile 13.8 kV switchgear trailer (fleet collector)</t>
        </is>
      </c>
      <c r="I5533" s="12" t="inlineStr">
        <is>
          <t>LV 600 V</t>
        </is>
      </c>
      <c r="J5533" s="12" t="inlineStr">
        <is>
          <t>Type TC-ER 600 V 3/C Cu XHHW-2 + ground, PVC jacket</t>
        </is>
      </c>
      <c r="K5533" s="12" t="inlineStr">
        <is>
          <t>LV|3/C+G|2</t>
        </is>
      </c>
      <c r="L5533" s="12" t="inlineStr">
        <is>
          <t>3/C+G</t>
        </is>
      </c>
      <c r="M5533" s="12" t="inlineStr">
        <is>
          <t>2</t>
        </is>
      </c>
      <c r="N5533" s="12" t="n">
        <v>1</v>
      </c>
      <c r="O5533" s="12" t="n">
        <v>1</v>
      </c>
      <c r="P5533" s="12" t="n">
        <v>480</v>
      </c>
      <c r="Q5533" s="12" t="n">
        <v>45</v>
      </c>
      <c r="R5533" s="12" t="n">
        <v>60</v>
      </c>
      <c r="S5533" s="12" t="inlineStr">
        <is>
          <t>Tray</t>
        </is>
      </c>
      <c r="T5533" s="15" t="n">
        <v>40</v>
      </c>
      <c r="U5533" s="15" t="n">
        <v>10</v>
      </c>
      <c r="V5533" s="15">
        <f>ROUNDUP((T5533+U5533+2*'Read Me'!$B$13)*(1+'Read Me'!$B$12),-1)</f>
        <v/>
      </c>
      <c r="W5533" s="15">
        <f>V5533*N5533*O5533</f>
        <v/>
      </c>
      <c r="X5533" s="12">
        <f>IF(LEFT(I5533,2)="MV",2*N5533*IF(L5533="1/C",O5533,1),0)</f>
        <v/>
      </c>
      <c r="Y5533" s="12">
        <f>IF(OR(LEFT(K5533,4)="LVAX",LEFT(K5533,6)="MV15AX",LEFT(K5533,4)="CTAX",LEFT(K5533,2)="W|"),2*N5533*O5533,0)</f>
        <v/>
      </c>
      <c r="Z5533" s="12" t="inlineStr">
        <is>
          <t>internal to the lineup</t>
        </is>
      </c>
      <c r="AA5533" s="12">
        <f>N5533*O5533</f>
        <v/>
      </c>
    </row>
    <row r="5534">
      <c r="A5534" s="12" t="inlineStr">
        <is>
          <t>I-P-0355</t>
        </is>
      </c>
      <c r="B5534" s="12" t="inlineStr">
        <is>
          <t>I</t>
        </is>
      </c>
      <c r="C5534" s="12" t="inlineStr">
        <is>
          <t>Modular / portable power</t>
        </is>
      </c>
      <c r="D5534" s="12" t="inlineStr">
        <is>
          <t>Motor 1 of 6, 22 kW</t>
        </is>
      </c>
      <c r="E5534" s="12" t="inlineStr"/>
      <c r="F5534" s="12" t="inlineStr">
        <is>
          <t>MOD-LV 480 V board + 480 V : 13.8 kV step-up</t>
        </is>
      </c>
      <c r="G5534" s="12" t="inlineStr">
        <is>
          <t>TM-1</t>
        </is>
      </c>
      <c r="H5534" s="12" t="inlineStr">
        <is>
          <t>TM-1: trailer-mounted aeroderivative GT (~35 MW)</t>
        </is>
      </c>
      <c r="I5534" s="12" t="inlineStr">
        <is>
          <t>LV 600 V</t>
        </is>
      </c>
      <c r="J5534" s="12" t="inlineStr">
        <is>
          <t>Type TC-ER 600 V 3/C Cu XHHW-2 + ground, PVC jacket</t>
        </is>
      </c>
      <c r="K5534" s="12" t="inlineStr">
        <is>
          <t>LV|3/C+G|6</t>
        </is>
      </c>
      <c r="L5534" s="12" t="inlineStr">
        <is>
          <t>3/C+G</t>
        </is>
      </c>
      <c r="M5534" s="12" t="inlineStr">
        <is>
          <t>6</t>
        </is>
      </c>
      <c r="N5534" s="12" t="n">
        <v>1</v>
      </c>
      <c r="O5534" s="12" t="n">
        <v>1</v>
      </c>
      <c r="P5534" s="12" t="n">
        <v>480</v>
      </c>
      <c r="Q5534" s="12" t="n">
        <v>22</v>
      </c>
      <c r="R5534" s="12" t="n">
        <v>31.1</v>
      </c>
      <c r="S5534" s="12" t="inlineStr">
        <is>
          <t>Duct bank</t>
        </is>
      </c>
      <c r="T5534" s="15" t="n">
        <v>323</v>
      </c>
      <c r="U5534" s="15" t="n">
        <v>38</v>
      </c>
      <c r="V5534" s="15">
        <f>ROUNDUP((T5534+U5534+2*'Read Me'!$B$13)*(1+'Read Me'!$B$12),-1)</f>
        <v/>
      </c>
      <c r="W5534" s="15">
        <f>V5534*N5534*O5534</f>
        <v/>
      </c>
      <c r="X5534" s="12">
        <f>IF(LEFT(I5534,2)="MV",2*N5534*IF(L5534="1/C",O5534,1),0)</f>
        <v/>
      </c>
      <c r="Y5534" s="12">
        <f>IF(OR(LEFT(K5534,4)="LVAX",LEFT(K5534,6)="MV15AX",LEFT(K5534,4)="CTAX",LEFT(K5534,2)="W|"),2*N5534*O5534,0)</f>
        <v/>
      </c>
      <c r="Z5534" s="12" t="inlineStr">
        <is>
          <t>VD 2.2 %</t>
        </is>
      </c>
      <c r="AA5534" s="12">
        <f>N5534*O5534</f>
        <v/>
      </c>
    </row>
    <row r="5535">
      <c r="A5535" s="12" t="inlineStr">
        <is>
          <t>I-P-0356</t>
        </is>
      </c>
      <c r="B5535" s="12" t="inlineStr">
        <is>
          <t>I</t>
        </is>
      </c>
      <c r="C5535" s="12" t="inlineStr">
        <is>
          <t>Modular / portable power</t>
        </is>
      </c>
      <c r="D5535" s="12" t="inlineStr">
        <is>
          <t>Motor 2 of 6, 22 kW</t>
        </is>
      </c>
      <c r="E5535" s="12" t="inlineStr"/>
      <c r="F5535" s="12" t="inlineStr">
        <is>
          <t>MOD-LV 480 V board + 480 V : 13.8 kV step-up</t>
        </is>
      </c>
      <c r="G5535" s="12" t="inlineStr">
        <is>
          <t>TM-1</t>
        </is>
      </c>
      <c r="H5535" s="12" t="inlineStr">
        <is>
          <t>TM-1: trailer-mounted aeroderivative GT (~35 MW)</t>
        </is>
      </c>
      <c r="I5535" s="12" t="inlineStr">
        <is>
          <t>LV 600 V</t>
        </is>
      </c>
      <c r="J5535" s="12" t="inlineStr">
        <is>
          <t>Type TC-ER 600 V 3/C Cu XHHW-2 + ground, PVC jacket</t>
        </is>
      </c>
      <c r="K5535" s="12" t="inlineStr">
        <is>
          <t>LV|3/C+G|6</t>
        </is>
      </c>
      <c r="L5535" s="12" t="inlineStr">
        <is>
          <t>3/C+G</t>
        </is>
      </c>
      <c r="M5535" s="12" t="inlineStr">
        <is>
          <t>6</t>
        </is>
      </c>
      <c r="N5535" s="12" t="n">
        <v>1</v>
      </c>
      <c r="O5535" s="12" t="n">
        <v>1</v>
      </c>
      <c r="P5535" s="12" t="n">
        <v>480</v>
      </c>
      <c r="Q5535" s="12" t="n">
        <v>22</v>
      </c>
      <c r="R5535" s="12" t="n">
        <v>31.1</v>
      </c>
      <c r="S5535" s="12" t="inlineStr">
        <is>
          <t>Duct bank</t>
        </is>
      </c>
      <c r="T5535" s="15" t="n">
        <v>323</v>
      </c>
      <c r="U5535" s="15" t="n">
        <v>38</v>
      </c>
      <c r="V5535" s="15">
        <f>ROUNDUP((T5535+U5535+2*'Read Me'!$B$13)*(1+'Read Me'!$B$12),-1)</f>
        <v/>
      </c>
      <c r="W5535" s="15">
        <f>V5535*N5535*O5535</f>
        <v/>
      </c>
      <c r="X5535" s="12">
        <f>IF(LEFT(I5535,2)="MV",2*N5535*IF(L5535="1/C",O5535,1),0)</f>
        <v/>
      </c>
      <c r="Y5535" s="12">
        <f>IF(OR(LEFT(K5535,4)="LVAX",LEFT(K5535,6)="MV15AX",LEFT(K5535,4)="CTAX",LEFT(K5535,2)="W|"),2*N5535*O5535,0)</f>
        <v/>
      </c>
      <c r="Z5535" s="12" t="inlineStr">
        <is>
          <t>VD 2.2 %</t>
        </is>
      </c>
      <c r="AA5535" s="12">
        <f>N5535*O5535</f>
        <v/>
      </c>
    </row>
    <row r="5536">
      <c r="A5536" s="12" t="inlineStr">
        <is>
          <t>I-P-0357</t>
        </is>
      </c>
      <c r="B5536" s="12" t="inlineStr">
        <is>
          <t>I</t>
        </is>
      </c>
      <c r="C5536" s="12" t="inlineStr">
        <is>
          <t>Modular / portable power</t>
        </is>
      </c>
      <c r="D5536" s="12" t="inlineStr">
        <is>
          <t>Motor 3 of 6, 22 kW</t>
        </is>
      </c>
      <c r="E5536" s="12" t="inlineStr"/>
      <c r="F5536" s="12" t="inlineStr">
        <is>
          <t>MOD-LV 480 V board + 480 V : 13.8 kV step-up</t>
        </is>
      </c>
      <c r="G5536" s="12" t="inlineStr">
        <is>
          <t>TM-1</t>
        </is>
      </c>
      <c r="H5536" s="12" t="inlineStr">
        <is>
          <t>TM-1: trailer-mounted aeroderivative GT (~35 MW)</t>
        </is>
      </c>
      <c r="I5536" s="12" t="inlineStr">
        <is>
          <t>LV 600 V</t>
        </is>
      </c>
      <c r="J5536" s="12" t="inlineStr">
        <is>
          <t>Type TC-ER 600 V 3/C Cu XHHW-2 + ground, PVC jacket</t>
        </is>
      </c>
      <c r="K5536" s="12" t="inlineStr">
        <is>
          <t>LV|3/C+G|6</t>
        </is>
      </c>
      <c r="L5536" s="12" t="inlineStr">
        <is>
          <t>3/C+G</t>
        </is>
      </c>
      <c r="M5536" s="12" t="inlineStr">
        <is>
          <t>6</t>
        </is>
      </c>
      <c r="N5536" s="12" t="n">
        <v>1</v>
      </c>
      <c r="O5536" s="12" t="n">
        <v>1</v>
      </c>
      <c r="P5536" s="12" t="n">
        <v>480</v>
      </c>
      <c r="Q5536" s="12" t="n">
        <v>22</v>
      </c>
      <c r="R5536" s="12" t="n">
        <v>31.1</v>
      </c>
      <c r="S5536" s="12" t="inlineStr">
        <is>
          <t>Duct bank</t>
        </is>
      </c>
      <c r="T5536" s="15" t="n">
        <v>323</v>
      </c>
      <c r="U5536" s="15" t="n">
        <v>38</v>
      </c>
      <c r="V5536" s="15">
        <f>ROUNDUP((T5536+U5536+2*'Read Me'!$B$13)*(1+'Read Me'!$B$12),-1)</f>
        <v/>
      </c>
      <c r="W5536" s="15">
        <f>V5536*N5536*O5536</f>
        <v/>
      </c>
      <c r="X5536" s="12">
        <f>IF(LEFT(I5536,2)="MV",2*N5536*IF(L5536="1/C",O5536,1),0)</f>
        <v/>
      </c>
      <c r="Y5536" s="12">
        <f>IF(OR(LEFT(K5536,4)="LVAX",LEFT(K5536,6)="MV15AX",LEFT(K5536,4)="CTAX",LEFT(K5536,2)="W|"),2*N5536*O5536,0)</f>
        <v/>
      </c>
      <c r="Z5536" s="12" t="inlineStr">
        <is>
          <t>VD 2.2 %</t>
        </is>
      </c>
      <c r="AA5536" s="12">
        <f>N5536*O5536</f>
        <v/>
      </c>
    </row>
    <row r="5537">
      <c r="A5537" s="12" t="inlineStr">
        <is>
          <t>I-P-0358</t>
        </is>
      </c>
      <c r="B5537" s="12" t="inlineStr">
        <is>
          <t>I</t>
        </is>
      </c>
      <c r="C5537" s="12" t="inlineStr">
        <is>
          <t>Modular / portable power</t>
        </is>
      </c>
      <c r="D5537" s="12" t="inlineStr">
        <is>
          <t>Motor 4 of 6, 22 kW</t>
        </is>
      </c>
      <c r="E5537" s="12" t="inlineStr"/>
      <c r="F5537" s="12" t="inlineStr">
        <is>
          <t>MOD-LV 480 V board + 480 V : 13.8 kV step-up</t>
        </is>
      </c>
      <c r="G5537" s="12" t="inlineStr">
        <is>
          <t>TM-1</t>
        </is>
      </c>
      <c r="H5537" s="12" t="inlineStr">
        <is>
          <t>TM-1: trailer-mounted aeroderivative GT (~35 MW)</t>
        </is>
      </c>
      <c r="I5537" s="12" t="inlineStr">
        <is>
          <t>LV 600 V</t>
        </is>
      </c>
      <c r="J5537" s="12" t="inlineStr">
        <is>
          <t>Type TC-ER 600 V 3/C Cu XHHW-2 + ground, PVC jacket</t>
        </is>
      </c>
      <c r="K5537" s="12" t="inlineStr">
        <is>
          <t>LV|3/C+G|6</t>
        </is>
      </c>
      <c r="L5537" s="12" t="inlineStr">
        <is>
          <t>3/C+G</t>
        </is>
      </c>
      <c r="M5537" s="12" t="inlineStr">
        <is>
          <t>6</t>
        </is>
      </c>
      <c r="N5537" s="12" t="n">
        <v>1</v>
      </c>
      <c r="O5537" s="12" t="n">
        <v>1</v>
      </c>
      <c r="P5537" s="12" t="n">
        <v>480</v>
      </c>
      <c r="Q5537" s="12" t="n">
        <v>22</v>
      </c>
      <c r="R5537" s="12" t="n">
        <v>31.1</v>
      </c>
      <c r="S5537" s="12" t="inlineStr">
        <is>
          <t>Duct bank</t>
        </is>
      </c>
      <c r="T5537" s="15" t="n">
        <v>323</v>
      </c>
      <c r="U5537" s="15" t="n">
        <v>38</v>
      </c>
      <c r="V5537" s="15">
        <f>ROUNDUP((T5537+U5537+2*'Read Me'!$B$13)*(1+'Read Me'!$B$12),-1)</f>
        <v/>
      </c>
      <c r="W5537" s="15">
        <f>V5537*N5537*O5537</f>
        <v/>
      </c>
      <c r="X5537" s="12">
        <f>IF(LEFT(I5537,2)="MV",2*N5537*IF(L5537="1/C",O5537,1),0)</f>
        <v/>
      </c>
      <c r="Y5537" s="12">
        <f>IF(OR(LEFT(K5537,4)="LVAX",LEFT(K5537,6)="MV15AX",LEFT(K5537,4)="CTAX",LEFT(K5537,2)="W|"),2*N5537*O5537,0)</f>
        <v/>
      </c>
      <c r="Z5537" s="12" t="inlineStr">
        <is>
          <t>VD 2.2 %</t>
        </is>
      </c>
      <c r="AA5537" s="12">
        <f>N5537*O5537</f>
        <v/>
      </c>
    </row>
    <row r="5538">
      <c r="A5538" s="12" t="inlineStr">
        <is>
          <t>I-P-0359</t>
        </is>
      </c>
      <c r="B5538" s="12" t="inlineStr">
        <is>
          <t>I</t>
        </is>
      </c>
      <c r="C5538" s="12" t="inlineStr">
        <is>
          <t>Modular / portable power</t>
        </is>
      </c>
      <c r="D5538" s="12" t="inlineStr">
        <is>
          <t>Motor 5 of 6, 22 kW</t>
        </is>
      </c>
      <c r="E5538" s="12" t="inlineStr"/>
      <c r="F5538" s="12" t="inlineStr">
        <is>
          <t>MOD-LV 480 V board + 480 V : 13.8 kV step-up</t>
        </is>
      </c>
      <c r="G5538" s="12" t="inlineStr">
        <is>
          <t>TM-1</t>
        </is>
      </c>
      <c r="H5538" s="12" t="inlineStr">
        <is>
          <t>TM-1: trailer-mounted aeroderivative GT (~35 MW)</t>
        </is>
      </c>
      <c r="I5538" s="12" t="inlineStr">
        <is>
          <t>LV 600 V</t>
        </is>
      </c>
      <c r="J5538" s="12" t="inlineStr">
        <is>
          <t>Type TC-ER 600 V 3/C Cu XHHW-2 + ground, PVC jacket</t>
        </is>
      </c>
      <c r="K5538" s="12" t="inlineStr">
        <is>
          <t>LV|3/C+G|6</t>
        </is>
      </c>
      <c r="L5538" s="12" t="inlineStr">
        <is>
          <t>3/C+G</t>
        </is>
      </c>
      <c r="M5538" s="12" t="inlineStr">
        <is>
          <t>6</t>
        </is>
      </c>
      <c r="N5538" s="12" t="n">
        <v>1</v>
      </c>
      <c r="O5538" s="12" t="n">
        <v>1</v>
      </c>
      <c r="P5538" s="12" t="n">
        <v>480</v>
      </c>
      <c r="Q5538" s="12" t="n">
        <v>22</v>
      </c>
      <c r="R5538" s="12" t="n">
        <v>31.1</v>
      </c>
      <c r="S5538" s="12" t="inlineStr">
        <is>
          <t>Duct bank</t>
        </is>
      </c>
      <c r="T5538" s="15" t="n">
        <v>323</v>
      </c>
      <c r="U5538" s="15" t="n">
        <v>38</v>
      </c>
      <c r="V5538" s="15">
        <f>ROUNDUP((T5538+U5538+2*'Read Me'!$B$13)*(1+'Read Me'!$B$12),-1)</f>
        <v/>
      </c>
      <c r="W5538" s="15">
        <f>V5538*N5538*O5538</f>
        <v/>
      </c>
      <c r="X5538" s="12">
        <f>IF(LEFT(I5538,2)="MV",2*N5538*IF(L5538="1/C",O5538,1),0)</f>
        <v/>
      </c>
      <c r="Y5538" s="12">
        <f>IF(OR(LEFT(K5538,4)="LVAX",LEFT(K5538,6)="MV15AX",LEFT(K5538,4)="CTAX",LEFT(K5538,2)="W|"),2*N5538*O5538,0)</f>
        <v/>
      </c>
      <c r="Z5538" s="12" t="inlineStr">
        <is>
          <t>VD 2.2 %</t>
        </is>
      </c>
      <c r="AA5538" s="12">
        <f>N5538*O5538</f>
        <v/>
      </c>
    </row>
    <row r="5539">
      <c r="A5539" s="12" t="inlineStr">
        <is>
          <t>I-P-0360</t>
        </is>
      </c>
      <c r="B5539" s="12" t="inlineStr">
        <is>
          <t>I</t>
        </is>
      </c>
      <c r="C5539" s="12" t="inlineStr">
        <is>
          <t>Modular / portable power</t>
        </is>
      </c>
      <c r="D5539" s="12" t="inlineStr">
        <is>
          <t>Motor 6 of 6, 22 kW</t>
        </is>
      </c>
      <c r="E5539" s="12" t="inlineStr"/>
      <c r="F5539" s="12" t="inlineStr">
        <is>
          <t>MOD-LV 480 V board + 480 V : 13.8 kV step-up</t>
        </is>
      </c>
      <c r="G5539" s="12" t="inlineStr">
        <is>
          <t>TM-1</t>
        </is>
      </c>
      <c r="H5539" s="12" t="inlineStr">
        <is>
          <t>TM-1: trailer-mounted aeroderivative GT (~35 MW)</t>
        </is>
      </c>
      <c r="I5539" s="12" t="inlineStr">
        <is>
          <t>LV 600 V</t>
        </is>
      </c>
      <c r="J5539" s="12" t="inlineStr">
        <is>
          <t>Type TC-ER 600 V 3/C Cu XHHW-2 + ground, PVC jacket</t>
        </is>
      </c>
      <c r="K5539" s="12" t="inlineStr">
        <is>
          <t>LV|3/C+G|6</t>
        </is>
      </c>
      <c r="L5539" s="12" t="inlineStr">
        <is>
          <t>3/C+G</t>
        </is>
      </c>
      <c r="M5539" s="12" t="inlineStr">
        <is>
          <t>6</t>
        </is>
      </c>
      <c r="N5539" s="12" t="n">
        <v>1</v>
      </c>
      <c r="O5539" s="12" t="n">
        <v>1</v>
      </c>
      <c r="P5539" s="12" t="n">
        <v>480</v>
      </c>
      <c r="Q5539" s="12" t="n">
        <v>22</v>
      </c>
      <c r="R5539" s="12" t="n">
        <v>31.1</v>
      </c>
      <c r="S5539" s="12" t="inlineStr">
        <is>
          <t>Duct bank</t>
        </is>
      </c>
      <c r="T5539" s="15" t="n">
        <v>323</v>
      </c>
      <c r="U5539" s="15" t="n">
        <v>38</v>
      </c>
      <c r="V5539" s="15">
        <f>ROUNDUP((T5539+U5539+2*'Read Me'!$B$13)*(1+'Read Me'!$B$12),-1)</f>
        <v/>
      </c>
      <c r="W5539" s="15">
        <f>V5539*N5539*O5539</f>
        <v/>
      </c>
      <c r="X5539" s="12">
        <f>IF(LEFT(I5539,2)="MV",2*N5539*IF(L5539="1/C",O5539,1),0)</f>
        <v/>
      </c>
      <c r="Y5539" s="12">
        <f>IF(OR(LEFT(K5539,4)="LVAX",LEFT(K5539,6)="MV15AX",LEFT(K5539,4)="CTAX",LEFT(K5539,2)="W|"),2*N5539*O5539,0)</f>
        <v/>
      </c>
      <c r="Z5539" s="12" t="inlineStr">
        <is>
          <t>VD 2.2 %</t>
        </is>
      </c>
      <c r="AA5539" s="12">
        <f>N5539*O5539</f>
        <v/>
      </c>
    </row>
    <row r="5540">
      <c r="A5540" s="12" t="inlineStr">
        <is>
          <t>I-P-0361</t>
        </is>
      </c>
      <c r="B5540" s="12" t="inlineStr">
        <is>
          <t>I</t>
        </is>
      </c>
      <c r="C5540" s="12" t="inlineStr">
        <is>
          <t>Modular / portable power</t>
        </is>
      </c>
      <c r="D5540" s="12" t="inlineStr">
        <is>
          <t>Motor 1 of 2, 75 kW</t>
        </is>
      </c>
      <c r="E5540" s="12" t="inlineStr"/>
      <c r="F5540" s="12" t="inlineStr">
        <is>
          <t>SC-2 PCM + 15 kV GCB</t>
        </is>
      </c>
      <c r="G5540" s="12" t="inlineStr"/>
      <c r="H5540" s="12" t="inlineStr">
        <is>
          <t>Water-injection skid</t>
        </is>
      </c>
      <c r="I5540" s="12" t="inlineStr">
        <is>
          <t>LV 600 V</t>
        </is>
      </c>
      <c r="J5540" s="12" t="inlineStr">
        <is>
          <t>Type TC-ER 600 V 3/C Cu XHHW-2 + ground, PVC jacket</t>
        </is>
      </c>
      <c r="K5540" s="12" t="inlineStr">
        <is>
          <t>LV|3/C+G|1/0</t>
        </is>
      </c>
      <c r="L5540" s="12" t="inlineStr">
        <is>
          <t>3/C+G</t>
        </is>
      </c>
      <c r="M5540" s="12" t="inlineStr">
        <is>
          <t>1/0</t>
        </is>
      </c>
      <c r="N5540" s="12" t="n">
        <v>1</v>
      </c>
      <c r="O5540" s="12" t="n">
        <v>1</v>
      </c>
      <c r="P5540" s="12" t="n">
        <v>480</v>
      </c>
      <c r="Q5540" s="12" t="n">
        <v>75</v>
      </c>
      <c r="R5540" s="12" t="n">
        <v>106.1</v>
      </c>
      <c r="S5540" s="12" t="inlineStr">
        <is>
          <t>Duct bank</t>
        </is>
      </c>
      <c r="T5540" s="15" t="n">
        <v>0</v>
      </c>
      <c r="U5540" s="15" t="n">
        <v>60</v>
      </c>
      <c r="V5540" s="15">
        <f>ROUNDUP((T5540+U5540+2*'Read Me'!$B$13)*(1+'Read Me'!$B$12),-1)</f>
        <v/>
      </c>
      <c r="W5540" s="15">
        <f>V5540*N5540*O5540</f>
        <v/>
      </c>
      <c r="X5540" s="12">
        <f>IF(LEFT(I5540,2)="MV",2*N5540*IF(L5540="1/C",O5540,1),0)</f>
        <v/>
      </c>
      <c r="Y5540" s="12">
        <f>IF(OR(LEFT(K5540,4)="LVAX",LEFT(K5540,6)="MV15AX",LEFT(K5540,4)="CTAX",LEFT(K5540,2)="W|"),2*N5540*O5540,0)</f>
        <v/>
      </c>
      <c r="Z5540" s="12" t="inlineStr">
        <is>
          <t>VD 0.3 %</t>
        </is>
      </c>
      <c r="AA5540" s="12">
        <f>N5540*O5540</f>
        <v/>
      </c>
    </row>
    <row r="5541">
      <c r="A5541" s="12" t="inlineStr">
        <is>
          <t>I-P-0362</t>
        </is>
      </c>
      <c r="B5541" s="12" t="inlineStr">
        <is>
          <t>I</t>
        </is>
      </c>
      <c r="C5541" s="12" t="inlineStr">
        <is>
          <t>Modular / portable power</t>
        </is>
      </c>
      <c r="D5541" s="12" t="inlineStr">
        <is>
          <t>Motor 2 of 2, 75 kW</t>
        </is>
      </c>
      <c r="E5541" s="12" t="inlineStr"/>
      <c r="F5541" s="12" t="inlineStr">
        <is>
          <t>SC-2 PCM + 15 kV GCB</t>
        </is>
      </c>
      <c r="G5541" s="12" t="inlineStr"/>
      <c r="H5541" s="12" t="inlineStr">
        <is>
          <t>Water-injection skid</t>
        </is>
      </c>
      <c r="I5541" s="12" t="inlineStr">
        <is>
          <t>LV 600 V</t>
        </is>
      </c>
      <c r="J5541" s="12" t="inlineStr">
        <is>
          <t>Type TC-ER 600 V 3/C Cu XHHW-2 + ground, PVC jacket</t>
        </is>
      </c>
      <c r="K5541" s="12" t="inlineStr">
        <is>
          <t>LV|3/C+G|1/0</t>
        </is>
      </c>
      <c r="L5541" s="12" t="inlineStr">
        <is>
          <t>3/C+G</t>
        </is>
      </c>
      <c r="M5541" s="12" t="inlineStr">
        <is>
          <t>1/0</t>
        </is>
      </c>
      <c r="N5541" s="12" t="n">
        <v>1</v>
      </c>
      <c r="O5541" s="12" t="n">
        <v>1</v>
      </c>
      <c r="P5541" s="12" t="n">
        <v>480</v>
      </c>
      <c r="Q5541" s="12" t="n">
        <v>75</v>
      </c>
      <c r="R5541" s="12" t="n">
        <v>106.1</v>
      </c>
      <c r="S5541" s="12" t="inlineStr">
        <is>
          <t>Duct bank</t>
        </is>
      </c>
      <c r="T5541" s="15" t="n">
        <v>0</v>
      </c>
      <c r="U5541" s="15" t="n">
        <v>60</v>
      </c>
      <c r="V5541" s="15">
        <f>ROUNDUP((T5541+U5541+2*'Read Me'!$B$13)*(1+'Read Me'!$B$12),-1)</f>
        <v/>
      </c>
      <c r="W5541" s="15">
        <f>V5541*N5541*O5541</f>
        <v/>
      </c>
      <c r="X5541" s="12">
        <f>IF(LEFT(I5541,2)="MV",2*N5541*IF(L5541="1/C",O5541,1),0)</f>
        <v/>
      </c>
      <c r="Y5541" s="12">
        <f>IF(OR(LEFT(K5541,4)="LVAX",LEFT(K5541,6)="MV15AX",LEFT(K5541,4)="CTAX",LEFT(K5541,2)="W|"),2*N5541*O5541,0)</f>
        <v/>
      </c>
      <c r="Z5541" s="12" t="inlineStr">
        <is>
          <t>VD 0.3 %</t>
        </is>
      </c>
      <c r="AA5541" s="12">
        <f>N5541*O5541</f>
        <v/>
      </c>
    </row>
    <row r="5542">
      <c r="A5542" s="12" t="inlineStr">
        <is>
          <t>I-MV-0001</t>
        </is>
      </c>
      <c r="B5542" s="12" t="inlineStr">
        <is>
          <t>I</t>
        </is>
      </c>
      <c r="C5542" s="12" t="inlineStr">
        <is>
          <t>Modular / portable power</t>
        </is>
      </c>
      <c r="D5542" s="12" t="inlineStr">
        <is>
          <t>AX-1 generator neutral to its high-resistance grounding resistor (in the package)</t>
        </is>
      </c>
      <c r="E5542" s="12" t="inlineStr">
        <is>
          <t>AX-1</t>
        </is>
      </c>
      <c r="F5542" s="12" t="inlineStr">
        <is>
          <t>AX-1: compact modular aeroderivative installation, ~35 MW class (~35 M</t>
        </is>
      </c>
      <c r="G5542" s="12" t="inlineStr">
        <is>
          <t>AX-1</t>
        </is>
      </c>
      <c r="H5542" s="12" t="inlineStr">
        <is>
          <t>AX-1: compact modular aeroderivative installation, ~35 MW class (~35 M</t>
        </is>
      </c>
      <c r="I5542" s="12" t="inlineStr">
        <is>
          <t>MV 15 kV</t>
        </is>
      </c>
      <c r="J5542" s="12" t="inlineStr">
        <is>
          <t>MV-105 15 kV 1/C Cu, EPR 133%, Cu tape shield, PVC jacket (triplexed)</t>
        </is>
      </c>
      <c r="K5542" s="12" t="inlineStr">
        <is>
          <t>MV15|1/C|2</t>
        </is>
      </c>
      <c r="L5542" s="12" t="inlineStr">
        <is>
          <t>1/C</t>
        </is>
      </c>
      <c r="M5542" s="12" t="inlineStr">
        <is>
          <t>2</t>
        </is>
      </c>
      <c r="N5542" s="12" t="n">
        <v>1</v>
      </c>
      <c r="O5542" s="12" t="n">
        <v>1</v>
      </c>
      <c r="P5542" s="12" t="n">
        <v>13800</v>
      </c>
      <c r="Q5542" s="12" t="n"/>
      <c r="R5542" s="12" t="n"/>
      <c r="S5542" s="12" t="inlineStr">
        <is>
          <t>Conduit</t>
        </is>
      </c>
      <c r="T5542" s="15" t="n">
        <v>15</v>
      </c>
      <c r="U5542" s="15" t="n">
        <v>5</v>
      </c>
      <c r="V5542" s="15">
        <f>ROUNDUP((T5542+U5542+2*'Read Me'!$B$13)*(1+'Read Me'!$B$12),-1)</f>
        <v/>
      </c>
      <c r="W5542" s="15">
        <f>V5542*N5542*O5542</f>
        <v/>
      </c>
      <c r="X5542" s="12">
        <f>IF(LEFT(I5542,2)="MV",2*N5542*IF(L5542="1/C",O5542,1),0)</f>
        <v/>
      </c>
      <c r="Y5542" s="12">
        <f>IF(OR(LEFT(K5542,4)="LVAX",LEFT(K5542,6)="MV15AX",LEFT(K5542,4)="CTAX",LEFT(K5542,2)="W|"),2*N5542*O5542,0)</f>
        <v/>
      </c>
      <c r="Z5542" s="12" t="inlineStr">
        <is>
          <t>NGR in the generator / terminal-box enclosure</t>
        </is>
      </c>
      <c r="AA5542" s="12">
        <f>N5542*O5542</f>
        <v/>
      </c>
    </row>
    <row r="5543">
      <c r="A5543" s="12" t="inlineStr">
        <is>
          <t>I-MV-0002</t>
        </is>
      </c>
      <c r="B5543" s="12" t="inlineStr">
        <is>
          <t>I</t>
        </is>
      </c>
      <c r="C5543" s="12" t="inlineStr">
        <is>
          <t>Modular / portable power</t>
        </is>
      </c>
      <c r="D5543" s="12" t="inlineStr">
        <is>
          <t>AX-1 13.8 kV generator leads to AX-GSU</t>
        </is>
      </c>
      <c r="E5543" s="12" t="inlineStr">
        <is>
          <t>AX-1</t>
        </is>
      </c>
      <c r="F5543" s="12" t="inlineStr">
        <is>
          <t>AX-1: compact modular aeroderivative installation, ~35 MW class (~35 M</t>
        </is>
      </c>
      <c r="G5543" s="12" t="inlineStr">
        <is>
          <t>AX-GSU</t>
        </is>
      </c>
      <c r="H5543" s="12" t="inlineStr">
        <is>
          <t>AX-GSU: 13.8 / 34.5 kV step-up, ~45 MVA (AX-1 unit step-up)</t>
        </is>
      </c>
      <c r="I5543" s="12" t="inlineStr">
        <is>
          <t>MV 15 kV</t>
        </is>
      </c>
      <c r="J5543" s="12" t="inlineStr">
        <is>
          <t>MV-105 15 kV 1/C Cu, EPR 133%, Cu tape shield, PVC jacket (triplexed)</t>
        </is>
      </c>
      <c r="K5543" s="12" t="inlineStr">
        <is>
          <t>MV15|1/C|750</t>
        </is>
      </c>
      <c r="L5543" s="12" t="inlineStr">
        <is>
          <t>1/C</t>
        </is>
      </c>
      <c r="M5543" s="12" t="inlineStr">
        <is>
          <t>750 kcmil</t>
        </is>
      </c>
      <c r="N5543" s="12" t="n">
        <v>4</v>
      </c>
      <c r="O5543" s="12" t="n">
        <v>3</v>
      </c>
      <c r="P5543" s="12" t="n">
        <v>13800</v>
      </c>
      <c r="Q5543" s="12" t="n">
        <v>35000</v>
      </c>
      <c r="R5543" s="12" t="n">
        <v>1627</v>
      </c>
      <c r="S5543" s="12" t="inlineStr">
        <is>
          <t>Duct bank</t>
        </is>
      </c>
      <c r="T5543" s="15" t="n">
        <v>28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4 sets per phase</t>
        </is>
      </c>
      <c r="AA5543" s="12">
        <f>N5543*O5543</f>
        <v/>
      </c>
    </row>
    <row r="5544">
      <c r="A5544" s="12" t="inlineStr">
        <is>
          <t>I-MV-0003</t>
        </is>
      </c>
      <c r="B5544" s="12" t="inlineStr">
        <is>
          <t>I</t>
        </is>
      </c>
      <c r="C5544" s="12" t="inlineStr">
        <is>
          <t>Modular / portable power</t>
        </is>
      </c>
      <c r="D5544" s="12" t="inlineStr">
        <is>
          <t>CGE-1 generator neutral to its high-resistance grounding resistor (in the package)</t>
        </is>
      </c>
      <c r="E5544" s="12" t="inlineStr">
        <is>
          <t>CGE-1</t>
        </is>
      </c>
      <c r="F5544" s="12" t="inlineStr">
        <is>
          <t>CGE-1: containerized gas-engine generator ~4.4 MW, 13.8 kV (40 ft engi</t>
        </is>
      </c>
      <c r="G5544" s="12" t="inlineStr">
        <is>
          <t>CGE-1</t>
        </is>
      </c>
      <c r="H5544" s="12" t="inlineStr">
        <is>
          <t>CGE-1: containerized gas-engine generator ~4.4 MW, 13.8 kV (40 ft engi</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I-MV-0004</t>
        </is>
      </c>
      <c r="B5545" s="12" t="inlineStr">
        <is>
          <t>I</t>
        </is>
      </c>
      <c r="C5545" s="12" t="inlineStr">
        <is>
          <t>Modular / portable power</t>
        </is>
      </c>
      <c r="D5545" s="12" t="inlineStr">
        <is>
          <t>CGE-2 generator neutral to its high-resistance grounding resistor (in the package)</t>
        </is>
      </c>
      <c r="E5545" s="12" t="inlineStr">
        <is>
          <t>CGE-2</t>
        </is>
      </c>
      <c r="F5545" s="12" t="inlineStr">
        <is>
          <t>CGE-2: containerized gas-engine generator ~4.4 MW, 13.8 kV (40 ft engi</t>
        </is>
      </c>
      <c r="G5545" s="12" t="inlineStr">
        <is>
          <t>CGE-2</t>
        </is>
      </c>
      <c r="H5545" s="12" t="inlineStr">
        <is>
          <t>CGE-2: containerized gas-engine generator ~4.4 MW, 13.8 kV (40 ft engi</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I-MV-0005</t>
        </is>
      </c>
      <c r="B5546" s="12" t="inlineStr">
        <is>
          <t>I</t>
        </is>
      </c>
      <c r="C5546" s="12" t="inlineStr">
        <is>
          <t>Modular / portable power</t>
        </is>
      </c>
      <c r="D5546" s="12" t="inlineStr">
        <is>
          <t>CGE-3 generator neutral to its high-resistance grounding resistor (in the package)</t>
        </is>
      </c>
      <c r="E5546" s="12" t="inlineStr">
        <is>
          <t>CGE-3</t>
        </is>
      </c>
      <c r="F5546" s="12" t="inlineStr">
        <is>
          <t>CGE-3: containerized gas-engine generator ~4.4 MW, 13.8 kV (40 ft engi</t>
        </is>
      </c>
      <c r="G5546" s="12" t="inlineStr">
        <is>
          <t>CGE-3</t>
        </is>
      </c>
      <c r="H5546" s="12" t="inlineStr">
        <is>
          <t>CGE-3: containerized gas-engine generator ~4.4 MW, 13.8 kV (40 ft engi</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1</v>
      </c>
      <c r="P5546" s="12" t="n">
        <v>13800</v>
      </c>
      <c r="Q5546" s="12" t="n"/>
      <c r="R5546" s="12" t="n"/>
      <c r="S5546" s="12" t="inlineStr">
        <is>
          <t>Conduit</t>
        </is>
      </c>
      <c r="T5546" s="15" t="n">
        <v>15</v>
      </c>
      <c r="U5546" s="15" t="n">
        <v>5</v>
      </c>
      <c r="V5546" s="15">
        <f>ROUNDUP((T5546+U5546+2*'Read Me'!$B$13)*(1+'Read Me'!$B$12),-1)</f>
        <v/>
      </c>
      <c r="W5546" s="15">
        <f>V5546*N5546*O5546</f>
        <v/>
      </c>
      <c r="X5546" s="12">
        <f>IF(LEFT(I5546,2)="MV",2*N5546*IF(L5546="1/C",O5546,1),0)</f>
        <v/>
      </c>
      <c r="Y5546" s="12">
        <f>IF(OR(LEFT(K5546,4)="LVAX",LEFT(K5546,6)="MV15AX",LEFT(K5546,4)="CTAX",LEFT(K5546,2)="W|"),2*N5546*O5546,0)</f>
        <v/>
      </c>
      <c r="Z5546" s="12" t="inlineStr">
        <is>
          <t>NGR in the generator / terminal-box enclosure</t>
        </is>
      </c>
      <c r="AA5546" s="12">
        <f>N5546*O5546</f>
        <v/>
      </c>
    </row>
    <row r="5547">
      <c r="A5547" s="12" t="inlineStr">
        <is>
          <t>I-MV-0006</t>
        </is>
      </c>
      <c r="B5547" s="12" t="inlineStr">
        <is>
          <t>I</t>
        </is>
      </c>
      <c r="C5547" s="12" t="inlineStr">
        <is>
          <t>Modular / portable power</t>
        </is>
      </c>
      <c r="D5547" s="12" t="inlineStr">
        <is>
          <t>CGE-4 generator neutral to its high-resistance grounding resistor (in the package)</t>
        </is>
      </c>
      <c r="E5547" s="12" t="inlineStr">
        <is>
          <t>CGE-4</t>
        </is>
      </c>
      <c r="F5547" s="12" t="inlineStr">
        <is>
          <t>CGE-4: containerized gas-engine generator ~4.4 MW, 13.8 kV (40 ft engi</t>
        </is>
      </c>
      <c r="G5547" s="12" t="inlineStr">
        <is>
          <t>CGE-4</t>
        </is>
      </c>
      <c r="H5547" s="12" t="inlineStr">
        <is>
          <t>CGE-4: containerized gas-engine generator ~4.4 MW, 13.8 kV (40 ft engi</t>
        </is>
      </c>
      <c r="I5547" s="12" t="inlineStr">
        <is>
          <t>MV 15 kV</t>
        </is>
      </c>
      <c r="J5547" s="12" t="inlineStr">
        <is>
          <t>MV-105 15 kV 1/C Cu, EPR 133%, Cu tape shield, PVC jacket (triplexed)</t>
        </is>
      </c>
      <c r="K5547" s="12" t="inlineStr">
        <is>
          <t>MV15|1/C|2</t>
        </is>
      </c>
      <c r="L5547" s="12" t="inlineStr">
        <is>
          <t>1/C</t>
        </is>
      </c>
      <c r="M5547" s="12" t="inlineStr">
        <is>
          <t>2</t>
        </is>
      </c>
      <c r="N5547" s="12" t="n">
        <v>1</v>
      </c>
      <c r="O5547" s="12" t="n">
        <v>1</v>
      </c>
      <c r="P5547" s="12" t="n">
        <v>13800</v>
      </c>
      <c r="Q5547" s="12" t="n"/>
      <c r="R5547" s="12" t="n"/>
      <c r="S5547" s="12" t="inlineStr">
        <is>
          <t>Conduit</t>
        </is>
      </c>
      <c r="T5547" s="15" t="n">
        <v>15</v>
      </c>
      <c r="U5547" s="15" t="n">
        <v>5</v>
      </c>
      <c r="V5547" s="15">
        <f>ROUNDUP((T5547+U5547+2*'Read Me'!$B$13)*(1+'Read Me'!$B$12),-1)</f>
        <v/>
      </c>
      <c r="W5547" s="15">
        <f>V5547*N5547*O5547</f>
        <v/>
      </c>
      <c r="X5547" s="12">
        <f>IF(LEFT(I5547,2)="MV",2*N5547*IF(L5547="1/C",O5547,1),0)</f>
        <v/>
      </c>
      <c r="Y5547" s="12">
        <f>IF(OR(LEFT(K5547,4)="LVAX",LEFT(K5547,6)="MV15AX",LEFT(K5547,4)="CTAX",LEFT(K5547,2)="W|"),2*N5547*O5547,0)</f>
        <v/>
      </c>
      <c r="Z5547" s="12" t="inlineStr">
        <is>
          <t>NGR in the generator / terminal-box enclosure</t>
        </is>
      </c>
      <c r="AA5547" s="12">
        <f>N5547*O5547</f>
        <v/>
      </c>
    </row>
    <row r="5548">
      <c r="A5548" s="12" t="inlineStr">
        <is>
          <t>I-MV-0007</t>
        </is>
      </c>
      <c r="B5548" s="12" t="inlineStr">
        <is>
          <t>I</t>
        </is>
      </c>
      <c r="C5548" s="12" t="inlineStr">
        <is>
          <t>Modular / portable power</t>
        </is>
      </c>
      <c r="D5548" s="12" t="inlineStr">
        <is>
          <t>CGE-AUX 13.8 kV primary</t>
        </is>
      </c>
      <c r="E5548" s="12" t="inlineStr">
        <is>
          <t>CGE-SWG</t>
        </is>
      </c>
      <c r="F5548" s="12" t="inlineStr">
        <is>
          <t>CGE-SWG: 13.8 kV switchgear container (engine breakers, site feeder)</t>
        </is>
      </c>
      <c r="G5548" s="12" t="inlineStr">
        <is>
          <t>CGE-AUX</t>
        </is>
      </c>
      <c r="H5548" s="12" t="inlineStr">
        <is>
          <t>CGE-AUX: 13.8 / 0.48 kV auxiliary transformer (cooling containers, rad</t>
        </is>
      </c>
      <c r="I5548" s="12" t="inlineStr">
        <is>
          <t>MV 15 kV</t>
        </is>
      </c>
      <c r="J5548" s="12" t="inlineStr">
        <is>
          <t>MV-105 15 kV 1/C Cu, EPR 133%, Cu tape shield, PVC jacket (triplexed)</t>
        </is>
      </c>
      <c r="K5548" s="12" t="inlineStr">
        <is>
          <t>MV15|1/C|2</t>
        </is>
      </c>
      <c r="L5548" s="12" t="inlineStr">
        <is>
          <t>1/C</t>
        </is>
      </c>
      <c r="M5548" s="12" t="inlineStr">
        <is>
          <t>2</t>
        </is>
      </c>
      <c r="N5548" s="12" t="n">
        <v>1</v>
      </c>
      <c r="O5548" s="12" t="n">
        <v>3</v>
      </c>
      <c r="P5548" s="12" t="n">
        <v>13800</v>
      </c>
      <c r="Q5548" s="12" t="n">
        <v>600</v>
      </c>
      <c r="R5548" s="12" t="n">
        <v>25</v>
      </c>
      <c r="S5548" s="12" t="inlineStr">
        <is>
          <t>Duct bank</t>
        </is>
      </c>
      <c r="T5548" s="15" t="n">
        <v>12</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I-MV-0008</t>
        </is>
      </c>
      <c r="B5549" s="12" t="inlineStr">
        <is>
          <t>I</t>
        </is>
      </c>
      <c r="C5549" s="12" t="inlineStr">
        <is>
          <t>Modular / portable power</t>
        </is>
      </c>
      <c r="D5549" s="12" t="inlineStr">
        <is>
          <t>CGE-SWG 13.8 kV to CGE-GSU</t>
        </is>
      </c>
      <c r="E5549" s="12" t="inlineStr">
        <is>
          <t>CGE-SWG</t>
        </is>
      </c>
      <c r="F5549" s="12" t="inlineStr">
        <is>
          <t>CGE-SWG: 13.8 kV switchgear container (engine breakers, site feeder)</t>
        </is>
      </c>
      <c r="G5549" s="12" t="inlineStr">
        <is>
          <t>CGE-GSU</t>
        </is>
      </c>
      <c r="H5549" s="12" t="inlineStr">
        <is>
          <t>CGE-GSU: 13.8 / 34.5 kV step-up, ~20 MVA (containerized engines)</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17600</v>
      </c>
      <c r="R5549" s="12" t="n">
        <v>818</v>
      </c>
      <c r="S5549" s="12" t="inlineStr">
        <is>
          <t>Duct bank</t>
        </is>
      </c>
      <c r="T5549" s="15" t="n">
        <v>10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I-MV-0009</t>
        </is>
      </c>
      <c r="B5550" s="12" t="inlineStr">
        <is>
          <t>I</t>
        </is>
      </c>
      <c r="C5550" s="12" t="inlineStr">
        <is>
          <t>Modular / portable power</t>
        </is>
      </c>
      <c r="D5550" s="12" t="inlineStr">
        <is>
          <t>CGE-1 13.8 kV generator leads to the switchgear container</t>
        </is>
      </c>
      <c r="E5550" s="12" t="inlineStr">
        <is>
          <t>CGE-1</t>
        </is>
      </c>
      <c r="F5550" s="12" t="inlineStr">
        <is>
          <t>CGE-1: containerized gas-engine generator ~4.4 MW, 13.8 kV (40 ft engi</t>
        </is>
      </c>
      <c r="G5550" s="12" t="inlineStr">
        <is>
          <t>CGE-SWG</t>
        </is>
      </c>
      <c r="H5550" s="12" t="inlineStr">
        <is>
          <t>CGE-SWG: 13.8 kV switchgear container (engine breakers, site feeder)</t>
        </is>
      </c>
      <c r="I5550" s="12" t="inlineStr">
        <is>
          <t>MV 15 kV</t>
        </is>
      </c>
      <c r="J5550" s="12" t="inlineStr">
        <is>
          <t>MV-105 15 kV 1/C Cu, EPR 133%, Cu tape shield, PVC jacket (triplexed)</t>
        </is>
      </c>
      <c r="K5550" s="12" t="inlineStr">
        <is>
          <t>MV15|1/C|4/0</t>
        </is>
      </c>
      <c r="L5550" s="12" t="inlineStr">
        <is>
          <t>1/C</t>
        </is>
      </c>
      <c r="M5550" s="12" t="inlineStr">
        <is>
          <t>4/0</t>
        </is>
      </c>
      <c r="N5550" s="12" t="n">
        <v>1</v>
      </c>
      <c r="O5550" s="12" t="n">
        <v>3</v>
      </c>
      <c r="P5550" s="12" t="n">
        <v>13800</v>
      </c>
      <c r="Q5550" s="12" t="n">
        <v>4400</v>
      </c>
      <c r="R5550" s="12" t="n">
        <v>205</v>
      </c>
      <c r="S5550" s="12" t="inlineStr">
        <is>
          <t>Duct bank</t>
        </is>
      </c>
      <c r="T5550" s="15" t="n">
        <v>79</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1 set per phase</t>
        </is>
      </c>
      <c r="AA5550" s="12">
        <f>N5550*O5550</f>
        <v/>
      </c>
    </row>
    <row r="5551">
      <c r="A5551" s="12" t="inlineStr">
        <is>
          <t>I-MV-0010</t>
        </is>
      </c>
      <c r="B5551" s="12" t="inlineStr">
        <is>
          <t>I</t>
        </is>
      </c>
      <c r="C5551" s="12" t="inlineStr">
        <is>
          <t>Modular / portable power</t>
        </is>
      </c>
      <c r="D5551" s="12" t="inlineStr">
        <is>
          <t>CGE-2 13.8 kV generator leads to the switchgear container</t>
        </is>
      </c>
      <c r="E5551" s="12" t="inlineStr">
        <is>
          <t>CGE-2</t>
        </is>
      </c>
      <c r="F5551" s="12" t="inlineStr">
        <is>
          <t>CGE-2: containerized gas-engine generator ~4.4 MW, 13.8 kV (40 ft engi</t>
        </is>
      </c>
      <c r="G5551" s="12" t="inlineStr">
        <is>
          <t>CGE-SWG</t>
        </is>
      </c>
      <c r="H5551" s="12" t="inlineStr">
        <is>
          <t>CGE-SWG: 13.8 kV switchgear container (engine breakers, site feeder)</t>
        </is>
      </c>
      <c r="I5551" s="12" t="inlineStr">
        <is>
          <t>MV 15 kV</t>
        </is>
      </c>
      <c r="J5551" s="12" t="inlineStr">
        <is>
          <t>MV-105 15 kV 1/C Cu, EPR 133%, Cu tape shield, PVC jacket (triplexed)</t>
        </is>
      </c>
      <c r="K5551" s="12" t="inlineStr">
        <is>
          <t>MV15|1/C|4/0</t>
        </is>
      </c>
      <c r="L5551" s="12" t="inlineStr">
        <is>
          <t>1/C</t>
        </is>
      </c>
      <c r="M5551" s="12" t="inlineStr">
        <is>
          <t>4/0</t>
        </is>
      </c>
      <c r="N5551" s="12" t="n">
        <v>1</v>
      </c>
      <c r="O5551" s="12" t="n">
        <v>3</v>
      </c>
      <c r="P5551" s="12" t="n">
        <v>13800</v>
      </c>
      <c r="Q5551" s="12" t="n">
        <v>4400</v>
      </c>
      <c r="R5551" s="12" t="n">
        <v>205</v>
      </c>
      <c r="S5551" s="12" t="inlineStr">
        <is>
          <t>Duct bank</t>
        </is>
      </c>
      <c r="T5551" s="15" t="n">
        <v>61</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I-MV-0011</t>
        </is>
      </c>
      <c r="B5552" s="12" t="inlineStr">
        <is>
          <t>I</t>
        </is>
      </c>
      <c r="C5552" s="12" t="inlineStr">
        <is>
          <t>Modular / portable power</t>
        </is>
      </c>
      <c r="D5552" s="12" t="inlineStr">
        <is>
          <t>CGE-3 13.8 kV generator leads to the switchgear container</t>
        </is>
      </c>
      <c r="E5552" s="12" t="inlineStr">
        <is>
          <t>CGE-3</t>
        </is>
      </c>
      <c r="F5552" s="12" t="inlineStr">
        <is>
          <t>CGE-3: containerized gas-engine generator ~4.4 MW, 13.8 kV (40 ft engi</t>
        </is>
      </c>
      <c r="G5552" s="12" t="inlineStr">
        <is>
          <t>CGE-SWG</t>
        </is>
      </c>
      <c r="H5552" s="12" t="inlineStr">
        <is>
          <t>CGE-SWG: 13.8 kV switchgear container (engine breakers, site feeder)</t>
        </is>
      </c>
      <c r="I5552" s="12" t="inlineStr">
        <is>
          <t>MV 15 kV</t>
        </is>
      </c>
      <c r="J5552" s="12" t="inlineStr">
        <is>
          <t>MV-105 15 kV 1/C Cu, EPR 133%, Cu tape shield, PVC jacket (triplexed)</t>
        </is>
      </c>
      <c r="K5552" s="12" t="inlineStr">
        <is>
          <t>MV15|1/C|4/0</t>
        </is>
      </c>
      <c r="L5552" s="12" t="inlineStr">
        <is>
          <t>1/C</t>
        </is>
      </c>
      <c r="M5552" s="12" t="inlineStr">
        <is>
          <t>4/0</t>
        </is>
      </c>
      <c r="N5552" s="12" t="n">
        <v>1</v>
      </c>
      <c r="O5552" s="12" t="n">
        <v>3</v>
      </c>
      <c r="P5552" s="12" t="n">
        <v>13800</v>
      </c>
      <c r="Q5552" s="12" t="n">
        <v>4400</v>
      </c>
      <c r="R5552" s="12" t="n">
        <v>205</v>
      </c>
      <c r="S5552" s="12" t="inlineStr">
        <is>
          <t>Duct bank</t>
        </is>
      </c>
      <c r="T5552" s="15" t="n">
        <v>43</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I-MV-0012</t>
        </is>
      </c>
      <c r="B5553" s="12" t="inlineStr">
        <is>
          <t>I</t>
        </is>
      </c>
      <c r="C5553" s="12" t="inlineStr">
        <is>
          <t>Modular / portable power</t>
        </is>
      </c>
      <c r="D5553" s="12" t="inlineStr">
        <is>
          <t>CGE-4 13.8 kV generator leads to the switchgear container</t>
        </is>
      </c>
      <c r="E5553" s="12" t="inlineStr">
        <is>
          <t>CGE-4</t>
        </is>
      </c>
      <c r="F5553" s="12" t="inlineStr">
        <is>
          <t>CGE-4: containerized gas-engine generator ~4.4 MW, 13.8 kV (40 ft engi</t>
        </is>
      </c>
      <c r="G5553" s="12" t="inlineStr">
        <is>
          <t>CGE-SWG</t>
        </is>
      </c>
      <c r="H5553" s="12" t="inlineStr">
        <is>
          <t>CGE-SWG: 13.8 kV switchgear container (engine breakers, site feeder)</t>
        </is>
      </c>
      <c r="I5553" s="12" t="inlineStr">
        <is>
          <t>MV 15 kV</t>
        </is>
      </c>
      <c r="J5553" s="12" t="inlineStr">
        <is>
          <t>MV-105 15 kV 1/C Cu, EPR 133%, Cu tape shield, PVC jacket (triplexed)</t>
        </is>
      </c>
      <c r="K5553" s="12" t="inlineStr">
        <is>
          <t>MV15|1/C|4/0</t>
        </is>
      </c>
      <c r="L5553" s="12" t="inlineStr">
        <is>
          <t>1/C</t>
        </is>
      </c>
      <c r="M5553" s="12" t="inlineStr">
        <is>
          <t>4/0</t>
        </is>
      </c>
      <c r="N5553" s="12" t="n">
        <v>1</v>
      </c>
      <c r="O5553" s="12" t="n">
        <v>3</v>
      </c>
      <c r="P5553" s="12" t="n">
        <v>13800</v>
      </c>
      <c r="Q5553" s="12" t="n">
        <v>4400</v>
      </c>
      <c r="R5553" s="12" t="n">
        <v>205</v>
      </c>
      <c r="S5553" s="12" t="inlineStr">
        <is>
          <t>Duct bank</t>
        </is>
      </c>
      <c r="T5553" s="15" t="n">
        <v>29</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1 set per phase</t>
        </is>
      </c>
      <c r="AA5553" s="12">
        <f>N5553*O5553</f>
        <v/>
      </c>
    </row>
    <row r="5554">
      <c r="A5554" s="12" t="inlineStr">
        <is>
          <t>I-MV-0013</t>
        </is>
      </c>
      <c r="B5554" s="12" t="inlineStr">
        <is>
          <t>I</t>
        </is>
      </c>
      <c r="C5554" s="12" t="inlineStr">
        <is>
          <t>Modular / portable power</t>
        </is>
      </c>
      <c r="D5554" s="12" t="inlineStr">
        <is>
          <t>CHP-1 generator neutral to its high-resistance grounding resistor (in the package)</t>
        </is>
      </c>
      <c r="E5554" s="12" t="inlineStr">
        <is>
          <t>CHP-1</t>
        </is>
      </c>
      <c r="F5554" s="12" t="inlineStr">
        <is>
          <t>CHP-1: gas-engine generator ~2.5 MW with exhaust heat recovery, 13.8 k</t>
        </is>
      </c>
      <c r="G5554" s="12" t="inlineStr">
        <is>
          <t>CHP-1</t>
        </is>
      </c>
      <c r="H5554" s="12" t="inlineStr">
        <is>
          <t>CHP-1: gas-engine generator ~2.5 MW with exhaust heat recovery, 13.8 k</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I-MV-0014</t>
        </is>
      </c>
      <c r="B5555" s="12" t="inlineStr">
        <is>
          <t>I</t>
        </is>
      </c>
      <c r="C5555" s="12" t="inlineStr">
        <is>
          <t>Modular / portable power</t>
        </is>
      </c>
      <c r="D5555" s="12" t="inlineStr">
        <is>
          <t>CHP-2 generator neutral to its high-resistance grounding resistor (in the package)</t>
        </is>
      </c>
      <c r="E5555" s="12" t="inlineStr">
        <is>
          <t>CHP-2</t>
        </is>
      </c>
      <c r="F5555" s="12" t="inlineStr">
        <is>
          <t>CHP-2: gas-engine generator ~2.5 MW with exhaust heat recovery, 13.8 k</t>
        </is>
      </c>
      <c r="G5555" s="12" t="inlineStr">
        <is>
          <t>CHP-2</t>
        </is>
      </c>
      <c r="H5555" s="12" t="inlineStr">
        <is>
          <t>CHP-2: gas-engine generator ~2.5 MW with exhaust heat recovery, 13.8 k</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1</v>
      </c>
      <c r="P5555" s="12" t="n">
        <v>13800</v>
      </c>
      <c r="Q5555" s="12" t="n"/>
      <c r="R5555" s="12" t="n"/>
      <c r="S5555" s="12" t="inlineStr">
        <is>
          <t>Conduit</t>
        </is>
      </c>
      <c r="T5555" s="15" t="n">
        <v>15</v>
      </c>
      <c r="U5555" s="15" t="n">
        <v>5</v>
      </c>
      <c r="V5555" s="15">
        <f>ROUNDUP((T5555+U5555+2*'Read Me'!$B$13)*(1+'Read Me'!$B$12),-1)</f>
        <v/>
      </c>
      <c r="W5555" s="15">
        <f>V5555*N5555*O5555</f>
        <v/>
      </c>
      <c r="X5555" s="12">
        <f>IF(LEFT(I5555,2)="MV",2*N5555*IF(L5555="1/C",O5555,1),0)</f>
        <v/>
      </c>
      <c r="Y5555" s="12">
        <f>IF(OR(LEFT(K5555,4)="LVAX",LEFT(K5555,6)="MV15AX",LEFT(K5555,4)="CTAX",LEFT(K5555,2)="W|"),2*N5555*O5555,0)</f>
        <v/>
      </c>
      <c r="Z5555" s="12" t="inlineStr">
        <is>
          <t>NGR in the generator / terminal-box enclosure</t>
        </is>
      </c>
      <c r="AA5555" s="12">
        <f>N5555*O5555</f>
        <v/>
      </c>
    </row>
    <row r="5556">
      <c r="A5556" s="12" t="inlineStr">
        <is>
          <t>I-MV-0015</t>
        </is>
      </c>
      <c r="B5556" s="12" t="inlineStr">
        <is>
          <t>I</t>
        </is>
      </c>
      <c r="C5556" s="12" t="inlineStr">
        <is>
          <t>Modular / portable power</t>
        </is>
      </c>
      <c r="D5556" s="12" t="inlineStr">
        <is>
          <t>CHP-3 generator neutral to its high-resistance grounding resistor (in the package)</t>
        </is>
      </c>
      <c r="E5556" s="12" t="inlineStr">
        <is>
          <t>CHP-3</t>
        </is>
      </c>
      <c r="F5556" s="12" t="inlineStr">
        <is>
          <t>CHP-3: gas-engine generator ~2.5 MW with exhaust heat recovery, 13.8 k</t>
        </is>
      </c>
      <c r="G5556" s="12" t="inlineStr">
        <is>
          <t>CHP-3</t>
        </is>
      </c>
      <c r="H5556" s="12" t="inlineStr">
        <is>
          <t>CHP-3: gas-engine generator ~2.5 MW with exhaust heat recovery, 13.8 k</t>
        </is>
      </c>
      <c r="I5556" s="12" t="inlineStr">
        <is>
          <t>MV 15 kV</t>
        </is>
      </c>
      <c r="J5556" s="12" t="inlineStr">
        <is>
          <t>MV-105 15 kV 1/C Cu, EPR 133%, Cu tape shield, PVC jacket (triplexed)</t>
        </is>
      </c>
      <c r="K5556" s="12" t="inlineStr">
        <is>
          <t>MV15|1/C|2</t>
        </is>
      </c>
      <c r="L5556" s="12" t="inlineStr">
        <is>
          <t>1/C</t>
        </is>
      </c>
      <c r="M5556" s="12" t="inlineStr">
        <is>
          <t>2</t>
        </is>
      </c>
      <c r="N5556" s="12" t="n">
        <v>1</v>
      </c>
      <c r="O5556" s="12" t="n">
        <v>1</v>
      </c>
      <c r="P5556" s="12" t="n">
        <v>13800</v>
      </c>
      <c r="Q5556" s="12" t="n"/>
      <c r="R5556" s="12" t="n"/>
      <c r="S5556" s="12" t="inlineStr">
        <is>
          <t>Conduit</t>
        </is>
      </c>
      <c r="T5556" s="15" t="n">
        <v>15</v>
      </c>
      <c r="U5556" s="15" t="n">
        <v>5</v>
      </c>
      <c r="V5556" s="15">
        <f>ROUNDUP((T5556+U5556+2*'Read Me'!$B$13)*(1+'Read Me'!$B$12),-1)</f>
        <v/>
      </c>
      <c r="W5556" s="15">
        <f>V5556*N5556*O5556</f>
        <v/>
      </c>
      <c r="X5556" s="12">
        <f>IF(LEFT(I5556,2)="MV",2*N5556*IF(L5556="1/C",O5556,1),0)</f>
        <v/>
      </c>
      <c r="Y5556" s="12">
        <f>IF(OR(LEFT(K5556,4)="LVAX",LEFT(K5556,6)="MV15AX",LEFT(K5556,4)="CTAX",LEFT(K5556,2)="W|"),2*N5556*O5556,0)</f>
        <v/>
      </c>
      <c r="Z5556" s="12" t="inlineStr">
        <is>
          <t>NGR in the generator / terminal-box enclosure</t>
        </is>
      </c>
      <c r="AA5556" s="12">
        <f>N5556*O5556</f>
        <v/>
      </c>
    </row>
    <row r="5557">
      <c r="A5557" s="12" t="inlineStr">
        <is>
          <t>I-MV-0016</t>
        </is>
      </c>
      <c r="B5557" s="12" t="inlineStr">
        <is>
          <t>I</t>
        </is>
      </c>
      <c r="C5557" s="12" t="inlineStr">
        <is>
          <t>Modular / portable power</t>
        </is>
      </c>
      <c r="D5557" s="12" t="inlineStr">
        <is>
          <t>CHP-4 generator neutral to its high-resistance grounding resistor (in the package)</t>
        </is>
      </c>
      <c r="E5557" s="12" t="inlineStr">
        <is>
          <t>CHP-4</t>
        </is>
      </c>
      <c r="F5557" s="12" t="inlineStr">
        <is>
          <t>CHP-4: gas-engine generator ~2.5 MW with exhaust heat recovery, 13.8 k</t>
        </is>
      </c>
      <c r="G5557" s="12" t="inlineStr">
        <is>
          <t>CHP-4</t>
        </is>
      </c>
      <c r="H5557" s="12" t="inlineStr">
        <is>
          <t>CHP-4: gas-engine generator ~2.5 MW with exhaust heat recovery, 13.8 k</t>
        </is>
      </c>
      <c r="I5557" s="12" t="inlineStr">
        <is>
          <t>MV 15 kV</t>
        </is>
      </c>
      <c r="J5557" s="12" t="inlineStr">
        <is>
          <t>MV-105 15 kV 1/C Cu, EPR 133%, Cu tape shield, PVC jacket (triplexed)</t>
        </is>
      </c>
      <c r="K5557" s="12" t="inlineStr">
        <is>
          <t>MV15|1/C|2</t>
        </is>
      </c>
      <c r="L5557" s="12" t="inlineStr">
        <is>
          <t>1/C</t>
        </is>
      </c>
      <c r="M5557" s="12" t="inlineStr">
        <is>
          <t>2</t>
        </is>
      </c>
      <c r="N5557" s="12" t="n">
        <v>1</v>
      </c>
      <c r="O5557" s="12" t="n">
        <v>1</v>
      </c>
      <c r="P5557" s="12" t="n">
        <v>13800</v>
      </c>
      <c r="Q5557" s="12" t="n"/>
      <c r="R5557" s="12" t="n"/>
      <c r="S5557" s="12" t="inlineStr">
        <is>
          <t>Conduit</t>
        </is>
      </c>
      <c r="T5557" s="15" t="n">
        <v>15</v>
      </c>
      <c r="U5557" s="15" t="n">
        <v>5</v>
      </c>
      <c r="V5557" s="15">
        <f>ROUNDUP((T5557+U5557+2*'Read Me'!$B$13)*(1+'Read Me'!$B$12),-1)</f>
        <v/>
      </c>
      <c r="W5557" s="15">
        <f>V5557*N5557*O5557</f>
        <v/>
      </c>
      <c r="X5557" s="12">
        <f>IF(LEFT(I5557,2)="MV",2*N5557*IF(L5557="1/C",O5557,1),0)</f>
        <v/>
      </c>
      <c r="Y5557" s="12">
        <f>IF(OR(LEFT(K5557,4)="LVAX",LEFT(K5557,6)="MV15AX",LEFT(K5557,4)="CTAX",LEFT(K5557,2)="W|"),2*N5557*O5557,0)</f>
        <v/>
      </c>
      <c r="Z5557" s="12" t="inlineStr">
        <is>
          <t>NGR in the generator / terminal-box enclosure</t>
        </is>
      </c>
      <c r="AA5557" s="12">
        <f>N5557*O5557</f>
        <v/>
      </c>
    </row>
    <row r="5558">
      <c r="A5558" s="12" t="inlineStr">
        <is>
          <t>I-MV-0017</t>
        </is>
      </c>
      <c r="B5558" s="12" t="inlineStr">
        <is>
          <t>I</t>
        </is>
      </c>
      <c r="C5558" s="12" t="inlineStr">
        <is>
          <t>Modular / portable power</t>
        </is>
      </c>
      <c r="D5558" s="12" t="inlineStr">
        <is>
          <t>CHP-AUX 13.8 kV primary</t>
        </is>
      </c>
      <c r="E5558" s="12" t="inlineStr">
        <is>
          <t>CHP-SWG</t>
        </is>
      </c>
      <c r="F5558" s="12" t="inlineStr">
        <is>
          <t>CHP-SWG: 13.8 kV switchgear container (4 engine breakers, site feeder)</t>
        </is>
      </c>
      <c r="G5558" s="12" t="inlineStr">
        <is>
          <t>CHP-AUX</t>
        </is>
      </c>
      <c r="H5558" s="12" t="inlineStr">
        <is>
          <t>CHP-AUX: 13.8 / 0.48 kV, 750 kVA auxiliary pad-mount (engine auxiliari</t>
        </is>
      </c>
      <c r="I5558" s="12" t="inlineStr">
        <is>
          <t>MV 15 kV</t>
        </is>
      </c>
      <c r="J5558" s="12" t="inlineStr">
        <is>
          <t>MV-105 15 kV 1/C Cu, EPR 133%, Cu tape shield, PVC jacket (triplexed)</t>
        </is>
      </c>
      <c r="K5558" s="12" t="inlineStr">
        <is>
          <t>MV15|1/C|2</t>
        </is>
      </c>
      <c r="L5558" s="12" t="inlineStr">
        <is>
          <t>1/C</t>
        </is>
      </c>
      <c r="M5558" s="12" t="inlineStr">
        <is>
          <t>2</t>
        </is>
      </c>
      <c r="N5558" s="12" t="n">
        <v>1</v>
      </c>
      <c r="O5558" s="12" t="n">
        <v>3</v>
      </c>
      <c r="P5558" s="12" t="n">
        <v>13800</v>
      </c>
      <c r="Q5558" s="12" t="n">
        <v>750</v>
      </c>
      <c r="R5558" s="12" t="n">
        <v>31</v>
      </c>
      <c r="S5558" s="12" t="inlineStr">
        <is>
          <t>Duct bank</t>
        </is>
      </c>
      <c r="T5558" s="15" t="n">
        <v>4</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c r="AA5558" s="12">
        <f>N5558*O5558</f>
        <v/>
      </c>
    </row>
    <row r="5559">
      <c r="A5559" s="12" t="inlineStr">
        <is>
          <t>I-MV-0018</t>
        </is>
      </c>
      <c r="B5559" s="12" t="inlineStr">
        <is>
          <t>I</t>
        </is>
      </c>
      <c r="C5559" s="12" t="inlineStr">
        <is>
          <t>Modular / portable power</t>
        </is>
      </c>
      <c r="D5559" s="12" t="inlineStr">
        <is>
          <t>CHP-1 13.8 kV generator leads to the switchgear container</t>
        </is>
      </c>
      <c r="E5559" s="12" t="inlineStr">
        <is>
          <t>CHP-1</t>
        </is>
      </c>
      <c r="F5559" s="12" t="inlineStr">
        <is>
          <t>CHP-1: gas-engine generator ~2.5 MW with exhaust heat recovery, 13.8 k</t>
        </is>
      </c>
      <c r="G5559" s="12" t="inlineStr">
        <is>
          <t>CHP-SWG</t>
        </is>
      </c>
      <c r="H5559" s="12" t="inlineStr">
        <is>
          <t>CHP-SWG: 13.8 kV switchgear container (4 engine breakers, site feeder)</t>
        </is>
      </c>
      <c r="I5559" s="12" t="inlineStr">
        <is>
          <t>MV 15 kV</t>
        </is>
      </c>
      <c r="J5559" s="12" t="inlineStr">
        <is>
          <t>MV-105 15 kV 1/C Cu, EPR 133%, Cu tape shield, PVC jacket (triplexed)</t>
        </is>
      </c>
      <c r="K5559" s="12" t="inlineStr">
        <is>
          <t>MV15|1/C|1/0</t>
        </is>
      </c>
      <c r="L5559" s="12" t="inlineStr">
        <is>
          <t>1/C</t>
        </is>
      </c>
      <c r="M5559" s="12" t="inlineStr">
        <is>
          <t>1/0</t>
        </is>
      </c>
      <c r="N5559" s="12" t="n">
        <v>1</v>
      </c>
      <c r="O5559" s="12" t="n">
        <v>3</v>
      </c>
      <c r="P5559" s="12" t="n">
        <v>13800</v>
      </c>
      <c r="Q5559" s="12" t="n">
        <v>2500</v>
      </c>
      <c r="R5559" s="12" t="n">
        <v>116</v>
      </c>
      <c r="S5559" s="12" t="inlineStr">
        <is>
          <t>Duct bank</t>
        </is>
      </c>
      <c r="T5559" s="15" t="n">
        <v>72</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1 set per phase</t>
        </is>
      </c>
      <c r="AA5559" s="12">
        <f>N5559*O5559</f>
        <v/>
      </c>
    </row>
    <row r="5560">
      <c r="A5560" s="12" t="inlineStr">
        <is>
          <t>I-MV-0019</t>
        </is>
      </c>
      <c r="B5560" s="12" t="inlineStr">
        <is>
          <t>I</t>
        </is>
      </c>
      <c r="C5560" s="12" t="inlineStr">
        <is>
          <t>Modular / portable power</t>
        </is>
      </c>
      <c r="D5560" s="12" t="inlineStr">
        <is>
          <t>CHP-2 13.8 kV generator leads to the switchgear container</t>
        </is>
      </c>
      <c r="E5560" s="12" t="inlineStr">
        <is>
          <t>CHP-2</t>
        </is>
      </c>
      <c r="F5560" s="12" t="inlineStr">
        <is>
          <t>CHP-2: gas-engine generator ~2.5 MW with exhaust heat recovery, 13.8 k</t>
        </is>
      </c>
      <c r="G5560" s="12" t="inlineStr">
        <is>
          <t>CHP-SWG</t>
        </is>
      </c>
      <c r="H5560" s="12" t="inlineStr">
        <is>
          <t>CHP-SWG: 13.8 kV switchgear container (4 engine breakers, site feeder)</t>
        </is>
      </c>
      <c r="I5560" s="12" t="inlineStr">
        <is>
          <t>MV 15 kV</t>
        </is>
      </c>
      <c r="J5560" s="12" t="inlineStr">
        <is>
          <t>MV-105 15 kV 1/C Cu, EPR 133%, Cu tape shield, PVC jacket (triplexed)</t>
        </is>
      </c>
      <c r="K5560" s="12" t="inlineStr">
        <is>
          <t>MV15|1/C|1/0</t>
        </is>
      </c>
      <c r="L5560" s="12" t="inlineStr">
        <is>
          <t>1/C</t>
        </is>
      </c>
      <c r="M5560" s="12" t="inlineStr">
        <is>
          <t>1/0</t>
        </is>
      </c>
      <c r="N5560" s="12" t="n">
        <v>1</v>
      </c>
      <c r="O5560" s="12" t="n">
        <v>3</v>
      </c>
      <c r="P5560" s="12" t="n">
        <v>13800</v>
      </c>
      <c r="Q5560" s="12" t="n">
        <v>2500</v>
      </c>
      <c r="R5560" s="12" t="n">
        <v>116</v>
      </c>
      <c r="S5560" s="12" t="inlineStr">
        <is>
          <t>Duct bank</t>
        </is>
      </c>
      <c r="T5560" s="15" t="n">
        <v>58</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I-MV-0020</t>
        </is>
      </c>
      <c r="B5561" s="12" t="inlineStr">
        <is>
          <t>I</t>
        </is>
      </c>
      <c r="C5561" s="12" t="inlineStr">
        <is>
          <t>Modular / portable power</t>
        </is>
      </c>
      <c r="D5561" s="12" t="inlineStr">
        <is>
          <t>CHP-3 13.8 kV generator leads to the switchgear container</t>
        </is>
      </c>
      <c r="E5561" s="12" t="inlineStr">
        <is>
          <t>CHP-3</t>
        </is>
      </c>
      <c r="F5561" s="12" t="inlineStr">
        <is>
          <t>CHP-3: gas-engine generator ~2.5 MW with exhaust heat recovery, 13.8 k</t>
        </is>
      </c>
      <c r="G5561" s="12" t="inlineStr">
        <is>
          <t>CHP-SWG</t>
        </is>
      </c>
      <c r="H5561" s="12" t="inlineStr">
        <is>
          <t>CHP-SWG: 13.8 kV switchgear container (4 engine breakers, site feeder)</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2500</v>
      </c>
      <c r="R5561" s="12" t="n">
        <v>116</v>
      </c>
      <c r="S5561" s="12" t="inlineStr">
        <is>
          <t>Duct bank</t>
        </is>
      </c>
      <c r="T5561" s="15" t="n">
        <v>34</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I-MV-0021</t>
        </is>
      </c>
      <c r="B5562" s="12" t="inlineStr">
        <is>
          <t>I</t>
        </is>
      </c>
      <c r="C5562" s="12" t="inlineStr">
        <is>
          <t>Modular / portable power</t>
        </is>
      </c>
      <c r="D5562" s="12" t="inlineStr">
        <is>
          <t>CHP-4 13.8 kV generator leads to the switchgear container</t>
        </is>
      </c>
      <c r="E5562" s="12" t="inlineStr">
        <is>
          <t>CHP-4</t>
        </is>
      </c>
      <c r="F5562" s="12" t="inlineStr">
        <is>
          <t>CHP-4: gas-engine generator ~2.5 MW with exhaust heat recovery, 13.8 k</t>
        </is>
      </c>
      <c r="G5562" s="12" t="inlineStr">
        <is>
          <t>CHP-SWG</t>
        </is>
      </c>
      <c r="H5562" s="12" t="inlineStr">
        <is>
          <t>CHP-SWG: 13.8 kV switchgear container (4 engine breakers, site feeder)</t>
        </is>
      </c>
      <c r="I5562" s="12" t="inlineStr">
        <is>
          <t>MV 15 kV</t>
        </is>
      </c>
      <c r="J5562" s="12" t="inlineStr">
        <is>
          <t>MV-105 15 kV 1/C Cu, EPR 133%, Cu tape shield, PVC jacket (triplexed)</t>
        </is>
      </c>
      <c r="K5562" s="12" t="inlineStr">
        <is>
          <t>MV15|1/C|1/0</t>
        </is>
      </c>
      <c r="L5562" s="12" t="inlineStr">
        <is>
          <t>1/C</t>
        </is>
      </c>
      <c r="M5562" s="12" t="inlineStr">
        <is>
          <t>1/0</t>
        </is>
      </c>
      <c r="N5562" s="12" t="n">
        <v>1</v>
      </c>
      <c r="O5562" s="12" t="n">
        <v>3</v>
      </c>
      <c r="P5562" s="12" t="n">
        <v>13800</v>
      </c>
      <c r="Q5562" s="12" t="n">
        <v>2500</v>
      </c>
      <c r="R5562" s="12" t="n">
        <v>116</v>
      </c>
      <c r="S5562" s="12" t="inlineStr">
        <is>
          <t>Duct bank</t>
        </is>
      </c>
      <c r="T5562" s="15" t="n">
        <v>20</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1 set per phase</t>
        </is>
      </c>
      <c r="AA5562" s="12">
        <f>N5562*O5562</f>
        <v/>
      </c>
    </row>
    <row r="5563">
      <c r="A5563" s="12" t="inlineStr">
        <is>
          <t>I-MV-0022</t>
        </is>
      </c>
      <c r="B5563" s="12" t="inlineStr">
        <is>
          <t>I</t>
        </is>
      </c>
      <c r="C5563" s="12" t="inlineStr">
        <is>
          <t>Modular / portable power</t>
        </is>
      </c>
      <c r="D5563" s="12" t="inlineStr">
        <is>
          <t>Modular-yard fuel-gas compressor</t>
        </is>
      </c>
      <c r="E5563" s="12" t="inlineStr">
        <is>
          <t>MOD-EH</t>
        </is>
      </c>
      <c r="F5563" s="12" t="inlineStr">
        <is>
          <t>MOD-EH: 34.5 kV modular collector e-house (2 bus sections + 13.8 kV st</t>
        </is>
      </c>
      <c r="G5563" s="12" t="inlineStr"/>
      <c r="H5563" s="12" t="inlineStr">
        <is>
          <t>Fuel-gas compressors 3 x 100% electric</t>
        </is>
      </c>
      <c r="I5563" s="12" t="inlineStr">
        <is>
          <t>MV 15 kV</t>
        </is>
      </c>
      <c r="J5563" s="12" t="inlineStr">
        <is>
          <t>ARMOR-X MC-HL / MV-105 15 kV 3/C Cu, EPR 133%, tape shield, gnd, CWA, red PVC</t>
        </is>
      </c>
      <c r="K5563" s="12" t="inlineStr">
        <is>
          <t>MV15AX|3/C|2</t>
        </is>
      </c>
      <c r="L5563" s="12" t="inlineStr">
        <is>
          <t>3/C</t>
        </is>
      </c>
      <c r="M5563" s="12" t="inlineStr">
        <is>
          <t>2</t>
        </is>
      </c>
      <c r="N5563" s="12" t="n">
        <v>1</v>
      </c>
      <c r="O5563" s="12" t="n">
        <v>1</v>
      </c>
      <c r="P5563" s="12" t="n">
        <v>13800</v>
      </c>
      <c r="Q5563" s="12" t="n">
        <v>1500</v>
      </c>
      <c r="R5563" s="12" t="n">
        <v>70</v>
      </c>
      <c r="S5563" s="12" t="inlineStr">
        <is>
          <t>Duct bank</t>
        </is>
      </c>
      <c r="T5563" s="15" t="n">
        <v>841</v>
      </c>
      <c r="U5563" s="15" t="n">
        <v>108</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I-MV-0023</t>
        </is>
      </c>
      <c r="B5564" s="12" t="inlineStr">
        <is>
          <t>I</t>
        </is>
      </c>
      <c r="C5564" s="12" t="inlineStr">
        <is>
          <t>Modular / portable power</t>
        </is>
      </c>
      <c r="D5564" s="12" t="inlineStr">
        <is>
          <t>Modular-yard fuel-gas compressor</t>
        </is>
      </c>
      <c r="E5564" s="12" t="inlineStr">
        <is>
          <t>MOD-EH</t>
        </is>
      </c>
      <c r="F5564" s="12" t="inlineStr">
        <is>
          <t>MOD-EH: 34.5 kV modular collector e-house (2 bus sections + 13.8 kV st</t>
        </is>
      </c>
      <c r="G5564" s="12" t="inlineStr"/>
      <c r="H5564" s="12" t="inlineStr">
        <is>
          <t>Fuel-gas compressors 3 x 100% electric</t>
        </is>
      </c>
      <c r="I5564" s="12" t="inlineStr">
        <is>
          <t>MV 15 kV</t>
        </is>
      </c>
      <c r="J5564" s="12" t="inlineStr">
        <is>
          <t>ARMOR-X MC-HL / MV-105 15 kV 3/C Cu, EPR 133%, tape shield, gnd, CWA, red PVC</t>
        </is>
      </c>
      <c r="K5564" s="12" t="inlineStr">
        <is>
          <t>MV15AX|3/C|2</t>
        </is>
      </c>
      <c r="L5564" s="12" t="inlineStr">
        <is>
          <t>3/C</t>
        </is>
      </c>
      <c r="M5564" s="12" t="inlineStr">
        <is>
          <t>2</t>
        </is>
      </c>
      <c r="N5564" s="12" t="n">
        <v>1</v>
      </c>
      <c r="O5564" s="12" t="n">
        <v>1</v>
      </c>
      <c r="P5564" s="12" t="n">
        <v>13800</v>
      </c>
      <c r="Q5564" s="12" t="n">
        <v>1500</v>
      </c>
      <c r="R5564" s="12" t="n">
        <v>70</v>
      </c>
      <c r="S5564" s="12" t="inlineStr">
        <is>
          <t>Duct bank</t>
        </is>
      </c>
      <c r="T5564" s="15" t="n">
        <v>841</v>
      </c>
      <c r="U5564" s="15" t="n">
        <v>108</v>
      </c>
      <c r="V5564" s="15">
        <f>ROUNDUP((T5564+U5564+2*'Read Me'!$B$13)*(1+'Read Me'!$B$12),-1)</f>
        <v/>
      </c>
      <c r="W5564" s="15">
        <f>V5564*N5564*O5564</f>
        <v/>
      </c>
      <c r="X5564" s="12">
        <f>IF(LEFT(I5564,2)="MV",2*N5564*IF(L5564="1/C",O5564,1),0)</f>
        <v/>
      </c>
      <c r="Y5564" s="12">
        <f>IF(OR(LEFT(K5564,4)="LVAX",LEFT(K5564,6)="MV15AX",LEFT(K5564,4)="CTAX",LEFT(K5564,2)="W|"),2*N5564*O5564,0)</f>
        <v/>
      </c>
      <c r="Z5564" s="12" t="inlineStr"/>
      <c r="AA5564" s="12">
        <f>N5564*O5564</f>
        <v/>
      </c>
    </row>
    <row r="5565">
      <c r="A5565" s="12" t="inlineStr">
        <is>
          <t>I-MV-0024</t>
        </is>
      </c>
      <c r="B5565" s="12" t="inlineStr">
        <is>
          <t>I</t>
        </is>
      </c>
      <c r="C5565" s="12" t="inlineStr">
        <is>
          <t>Modular / portable power</t>
        </is>
      </c>
      <c r="D5565" s="12" t="inlineStr">
        <is>
          <t>Modular-yard fuel-gas compressor</t>
        </is>
      </c>
      <c r="E5565" s="12" t="inlineStr">
        <is>
          <t>MOD-EH</t>
        </is>
      </c>
      <c r="F5565" s="12" t="inlineStr">
        <is>
          <t>MOD-EH: 34.5 kV modular collector e-house (2 bus sections + 13.8 kV st</t>
        </is>
      </c>
      <c r="G5565" s="12" t="inlineStr"/>
      <c r="H5565" s="12" t="inlineStr">
        <is>
          <t>Fuel-gas compressors 3 x 100% electric</t>
        </is>
      </c>
      <c r="I5565" s="12" t="inlineStr">
        <is>
          <t>MV 15 kV</t>
        </is>
      </c>
      <c r="J5565" s="12" t="inlineStr">
        <is>
          <t>ARMOR-X MC-HL / MV-105 15 kV 3/C Cu, EPR 133%, tape shield, gnd, CWA, red PVC</t>
        </is>
      </c>
      <c r="K5565" s="12" t="inlineStr">
        <is>
          <t>MV15AX|3/C|2</t>
        </is>
      </c>
      <c r="L5565" s="12" t="inlineStr">
        <is>
          <t>3/C</t>
        </is>
      </c>
      <c r="M5565" s="12" t="inlineStr">
        <is>
          <t>2</t>
        </is>
      </c>
      <c r="N5565" s="12" t="n">
        <v>1</v>
      </c>
      <c r="O5565" s="12" t="n">
        <v>1</v>
      </c>
      <c r="P5565" s="12" t="n">
        <v>13800</v>
      </c>
      <c r="Q5565" s="12" t="n">
        <v>1500</v>
      </c>
      <c r="R5565" s="12" t="n">
        <v>70</v>
      </c>
      <c r="S5565" s="12" t="inlineStr">
        <is>
          <t>Duct bank</t>
        </is>
      </c>
      <c r="T5565" s="15" t="n">
        <v>841</v>
      </c>
      <c r="U5565" s="15" t="n">
        <v>108</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I-MV-0025</t>
        </is>
      </c>
      <c r="B5566" s="12" t="inlineStr">
        <is>
          <t>I</t>
        </is>
      </c>
      <c r="C5566" s="12" t="inlineStr">
        <is>
          <t>Modular / portable power</t>
        </is>
      </c>
      <c r="D5566" s="12" t="inlineStr">
        <is>
          <t>IG-1 generator neutral to its high-resistance grounding resistor (in the package)</t>
        </is>
      </c>
      <c r="E5566" s="12" t="inlineStr">
        <is>
          <t>IG-1</t>
        </is>
      </c>
      <c r="F5566" s="12" t="inlineStr">
        <is>
          <t>IG-1: industrial gas-turbine installation, ~50 MW class (~50 MW)</t>
        </is>
      </c>
      <c r="G5566" s="12" t="inlineStr">
        <is>
          <t>IG-1</t>
        </is>
      </c>
      <c r="H5566" s="12" t="inlineStr">
        <is>
          <t>IG-1: industrial gas-turbine installation, ~50 MW class (~50 MW)</t>
        </is>
      </c>
      <c r="I5566" s="12" t="inlineStr">
        <is>
          <t>MV 15 kV</t>
        </is>
      </c>
      <c r="J5566" s="12" t="inlineStr">
        <is>
          <t>MV-105 15 kV 1/C Cu, EPR 133%, Cu tape shield, PVC jacket (triplexed)</t>
        </is>
      </c>
      <c r="K5566" s="12" t="inlineStr">
        <is>
          <t>MV15|1/C|2</t>
        </is>
      </c>
      <c r="L5566" s="12" t="inlineStr">
        <is>
          <t>1/C</t>
        </is>
      </c>
      <c r="M5566" s="12" t="inlineStr">
        <is>
          <t>2</t>
        </is>
      </c>
      <c r="N5566" s="12" t="n">
        <v>1</v>
      </c>
      <c r="O5566" s="12" t="n">
        <v>1</v>
      </c>
      <c r="P5566" s="12" t="n">
        <v>13800</v>
      </c>
      <c r="Q5566" s="12" t="n"/>
      <c r="R5566" s="12" t="n"/>
      <c r="S5566" s="12" t="inlineStr">
        <is>
          <t>Conduit</t>
        </is>
      </c>
      <c r="T5566" s="15" t="n">
        <v>15</v>
      </c>
      <c r="U5566" s="15" t="n">
        <v>5</v>
      </c>
      <c r="V5566" s="15">
        <f>ROUNDUP((T5566+U5566+2*'Read Me'!$B$13)*(1+'Read Me'!$B$12),-1)</f>
        <v/>
      </c>
      <c r="W5566" s="15">
        <f>V5566*N5566*O5566</f>
        <v/>
      </c>
      <c r="X5566" s="12">
        <f>IF(LEFT(I5566,2)="MV",2*N5566*IF(L5566="1/C",O5566,1),0)</f>
        <v/>
      </c>
      <c r="Y5566" s="12">
        <f>IF(OR(LEFT(K5566,4)="LVAX",LEFT(K5566,6)="MV15AX",LEFT(K5566,4)="CTAX",LEFT(K5566,2)="W|"),2*N5566*O5566,0)</f>
        <v/>
      </c>
      <c r="Z5566" s="12" t="inlineStr">
        <is>
          <t>NGR in the generator / terminal-box enclosure</t>
        </is>
      </c>
      <c r="AA5566" s="12">
        <f>N5566*O5566</f>
        <v/>
      </c>
    </row>
    <row r="5567">
      <c r="A5567" s="12" t="inlineStr">
        <is>
          <t>I-MV-0026</t>
        </is>
      </c>
      <c r="B5567" s="12" t="inlineStr">
        <is>
          <t>I</t>
        </is>
      </c>
      <c r="C5567" s="12" t="inlineStr">
        <is>
          <t>Modular / portable power</t>
        </is>
      </c>
      <c r="D5567" s="12" t="inlineStr">
        <is>
          <t>IG-1 13.8 kV generator leads to IG-GSU</t>
        </is>
      </c>
      <c r="E5567" s="12" t="inlineStr">
        <is>
          <t>IG-1</t>
        </is>
      </c>
      <c r="F5567" s="12" t="inlineStr">
        <is>
          <t>IG-1: industrial gas-turbine installation, ~50 MW class (~50 MW)</t>
        </is>
      </c>
      <c r="G5567" s="12" t="inlineStr">
        <is>
          <t>IG-GSU</t>
        </is>
      </c>
      <c r="H5567" s="12" t="inlineStr">
        <is>
          <t>IG-GSU: 13.8 / 34.5 kV step-up, ~60 MVA (IG-1 unit step-up)</t>
        </is>
      </c>
      <c r="I5567" s="12" t="inlineStr">
        <is>
          <t>MV 15 kV</t>
        </is>
      </c>
      <c r="J5567" s="12" t="inlineStr">
        <is>
          <t>MV-105 15 kV 1/C Cu, EPR 133%, Cu tape shield, PVC jacket (triplexed)</t>
        </is>
      </c>
      <c r="K5567" s="12" t="inlineStr">
        <is>
          <t>MV15|1/C|1000</t>
        </is>
      </c>
      <c r="L5567" s="12" t="inlineStr">
        <is>
          <t>1/C</t>
        </is>
      </c>
      <c r="M5567" s="12" t="inlineStr">
        <is>
          <t>1000 kcmil</t>
        </is>
      </c>
      <c r="N5567" s="12" t="n">
        <v>5</v>
      </c>
      <c r="O5567" s="12" t="n">
        <v>3</v>
      </c>
      <c r="P5567" s="12" t="n">
        <v>13800</v>
      </c>
      <c r="Q5567" s="12" t="n">
        <v>50000</v>
      </c>
      <c r="R5567" s="12" t="n">
        <v>2324</v>
      </c>
      <c r="S5567" s="12" t="inlineStr">
        <is>
          <t>Duct bank</t>
        </is>
      </c>
      <c r="T5567" s="15" t="n">
        <v>26</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is>
          <t>5 sets per phase</t>
        </is>
      </c>
      <c r="AA5567" s="12">
        <f>N5567*O5567</f>
        <v/>
      </c>
    </row>
    <row r="5568">
      <c r="A5568" s="12" t="inlineStr">
        <is>
          <t>I-MV-0027</t>
        </is>
      </c>
      <c r="B5568" s="12" t="inlineStr">
        <is>
          <t>I</t>
        </is>
      </c>
      <c r="C5568" s="12" t="inlineStr">
        <is>
          <t>Modular / portable power</t>
        </is>
      </c>
      <c r="D5568" s="12" t="inlineStr">
        <is>
          <t>MOD-SST 13.8 kV secondary to the MOD-EH station-service section</t>
        </is>
      </c>
      <c r="E5568" s="12" t="inlineStr">
        <is>
          <t>MOD-SST</t>
        </is>
      </c>
      <c r="F5568" s="12" t="inlineStr">
        <is>
          <t>MOD-SST: 34.5 / 13.8 kV station-service transformer, ~10 MVA (yard sta</t>
        </is>
      </c>
      <c r="G5568" s="12" t="inlineStr">
        <is>
          <t>MOD-EH</t>
        </is>
      </c>
      <c r="H5568" s="12" t="inlineStr">
        <is>
          <t>MOD-EH: 34.5 kV modular collector e-house (2 bus sections + 13.8 kV st</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1</v>
      </c>
      <c r="O5568" s="12" t="n">
        <v>3</v>
      </c>
      <c r="P5568" s="12" t="n">
        <v>13800</v>
      </c>
      <c r="Q5568" s="12" t="n">
        <v>9000</v>
      </c>
      <c r="R5568" s="12" t="n">
        <v>418</v>
      </c>
      <c r="S5568" s="12" t="inlineStr">
        <is>
          <t>Duct bank</t>
        </is>
      </c>
      <c r="T5568" s="15" t="n">
        <v>40</v>
      </c>
      <c r="U5568" s="15" t="n">
        <v>20</v>
      </c>
      <c r="V5568" s="15">
        <f>ROUNDUP((T5568+U5568+2*'Read Me'!$B$13)*(1+'Read Me'!$B$12),-1)</f>
        <v/>
      </c>
      <c r="W5568" s="15">
        <f>V5568*N5568*O5568</f>
        <v/>
      </c>
      <c r="X5568" s="12">
        <f>IF(LEFT(I5568,2)="MV",2*N5568*IF(L5568="1/C",O5568,1),0)</f>
        <v/>
      </c>
      <c r="Y5568" s="12">
        <f>IF(OR(LEFT(K5568,4)="LVAX",LEFT(K5568,6)="MV15AX",LEFT(K5568,4)="CTAX",LEFT(K5568,2)="W|"),2*N5568*O5568,0)</f>
        <v/>
      </c>
      <c r="Z5568" s="12" t="inlineStr">
        <is>
          <t>1 set per phase</t>
        </is>
      </c>
      <c r="AA5568" s="12">
        <f>N5568*O5568</f>
        <v/>
      </c>
    </row>
    <row r="5569">
      <c r="A5569" s="12" t="inlineStr">
        <is>
          <t>I-MV-0028</t>
        </is>
      </c>
      <c r="B5569" s="12" t="inlineStr">
        <is>
          <t>I</t>
        </is>
      </c>
      <c r="C5569" s="12" t="inlineStr">
        <is>
          <t>Modular / portable power</t>
        </is>
      </c>
      <c r="D5569" s="12" t="inlineStr">
        <is>
          <t>MOD-LV supply from the MOD-EH 13.8 kV station-service section</t>
        </is>
      </c>
      <c r="E5569" s="12" t="inlineStr">
        <is>
          <t>MOD-EH</t>
        </is>
      </c>
      <c r="F5569" s="12" t="inlineStr">
        <is>
          <t>MOD-EH: 34.5 kV modular collector e-house (2 bus sections + 13.8 kV st</t>
        </is>
      </c>
      <c r="G5569" s="12" t="inlineStr"/>
      <c r="H5569" s="12" t="inlineStr">
        <is>
          <t>MOD-LV 480 V board + 480 V : 13.8 kV step-up</t>
        </is>
      </c>
      <c r="I5569" s="12" t="inlineStr">
        <is>
          <t>MV 15 kV</t>
        </is>
      </c>
      <c r="J5569" s="12" t="inlineStr">
        <is>
          <t>MV-105 15 kV 1/C Cu, EPR 133%, Cu tape shield, PVC jacket (triplexed)</t>
        </is>
      </c>
      <c r="K5569" s="12" t="inlineStr">
        <is>
          <t>MV15|1/C|1/0</t>
        </is>
      </c>
      <c r="L5569" s="12" t="inlineStr">
        <is>
          <t>1/C</t>
        </is>
      </c>
      <c r="M5569" s="12" t="inlineStr">
        <is>
          <t>1/0</t>
        </is>
      </c>
      <c r="N5569" s="12" t="n">
        <v>1</v>
      </c>
      <c r="O5569" s="12" t="n">
        <v>3</v>
      </c>
      <c r="P5569" s="12" t="n">
        <v>13800</v>
      </c>
      <c r="Q5569" s="12" t="n">
        <v>3000</v>
      </c>
      <c r="R5569" s="12" t="n">
        <v>126</v>
      </c>
      <c r="S5569" s="12" t="inlineStr">
        <is>
          <t>Duct bank</t>
        </is>
      </c>
      <c r="T5569" s="15" t="n">
        <v>538</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I-MV-0029</t>
        </is>
      </c>
      <c r="B5570" s="12" t="inlineStr">
        <is>
          <t>I</t>
        </is>
      </c>
      <c r="C5570" s="12" t="inlineStr">
        <is>
          <t>Modular / portable power</t>
        </is>
      </c>
      <c r="D5570" s="12" t="inlineStr">
        <is>
          <t>MTG-1 generator neutral to its high-resistance grounding resistor (in the package)</t>
        </is>
      </c>
      <c r="E5570" s="12" t="inlineStr">
        <is>
          <t>MTG-1</t>
        </is>
      </c>
      <c r="F5570" s="12" t="inlineStr">
        <is>
          <t xml:space="preserve">MTG-1: mid-size industrial gas-turbine generator package ~16 MW, 13.8 </t>
        </is>
      </c>
      <c r="G5570" s="12" t="inlineStr">
        <is>
          <t>MTG-1</t>
        </is>
      </c>
      <c r="H5570" s="12" t="inlineStr">
        <is>
          <t xml:space="preserve">MTG-1: mid-size industrial gas-turbine generator package ~16 MW, 13.8 </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5</v>
      </c>
      <c r="V5570" s="15">
        <f>ROUNDUP((T5570+U5570+2*'Read Me'!$B$13)*(1+'Read Me'!$B$12),-1)</f>
        <v/>
      </c>
      <c r="W5570" s="15">
        <f>V5570*N5570*O5570</f>
        <v/>
      </c>
      <c r="X5570" s="12">
        <f>IF(LEFT(I5570,2)="MV",2*N5570*IF(L5570="1/C",O5570,1),0)</f>
        <v/>
      </c>
      <c r="Y5570" s="12">
        <f>IF(OR(LEFT(K5570,4)="LVAX",LEFT(K5570,6)="MV15AX",LEFT(K5570,4)="CTAX",LEFT(K5570,2)="W|"),2*N5570*O5570,0)</f>
        <v/>
      </c>
      <c r="Z5570" s="12" t="inlineStr">
        <is>
          <t>NGR in the generator / terminal-box enclosure</t>
        </is>
      </c>
      <c r="AA5570" s="12">
        <f>N5570*O5570</f>
        <v/>
      </c>
    </row>
    <row r="5571">
      <c r="A5571" s="12" t="inlineStr">
        <is>
          <t>I-MV-0030</t>
        </is>
      </c>
      <c r="B5571" s="12" t="inlineStr">
        <is>
          <t>I</t>
        </is>
      </c>
      <c r="C5571" s="12" t="inlineStr">
        <is>
          <t>Modular / portable power</t>
        </is>
      </c>
      <c r="D5571" s="12" t="inlineStr">
        <is>
          <t>MTG-2 generator neutral to its high-resistance grounding resistor (in the package)</t>
        </is>
      </c>
      <c r="E5571" s="12" t="inlineStr">
        <is>
          <t>MTG-2</t>
        </is>
      </c>
      <c r="F5571" s="12" t="inlineStr">
        <is>
          <t xml:space="preserve">MTG-2: mid-size industrial gas-turbine generator package ~16 MW, 13.8 </t>
        </is>
      </c>
      <c r="G5571" s="12" t="inlineStr">
        <is>
          <t>MTG-2</t>
        </is>
      </c>
      <c r="H5571" s="12" t="inlineStr">
        <is>
          <t xml:space="preserve">MTG-2: mid-size industrial gas-turbine generator package ~16 MW, 13.8 </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1</v>
      </c>
      <c r="P5571" s="12" t="n">
        <v>13800</v>
      </c>
      <c r="Q5571" s="12" t="n"/>
      <c r="R5571" s="12" t="n"/>
      <c r="S5571" s="12" t="inlineStr">
        <is>
          <t>Conduit</t>
        </is>
      </c>
      <c r="T5571" s="15" t="n">
        <v>15</v>
      </c>
      <c r="U5571" s="15" t="n">
        <v>5</v>
      </c>
      <c r="V5571" s="15">
        <f>ROUNDUP((T5571+U5571+2*'Read Me'!$B$13)*(1+'Read Me'!$B$12),-1)</f>
        <v/>
      </c>
      <c r="W5571" s="15">
        <f>V5571*N5571*O5571</f>
        <v/>
      </c>
      <c r="X5571" s="12">
        <f>IF(LEFT(I5571,2)="MV",2*N5571*IF(L5571="1/C",O5571,1),0)</f>
        <v/>
      </c>
      <c r="Y5571" s="12">
        <f>IF(OR(LEFT(K5571,4)="LVAX",LEFT(K5571,6)="MV15AX",LEFT(K5571,4)="CTAX",LEFT(K5571,2)="W|"),2*N5571*O5571,0)</f>
        <v/>
      </c>
      <c r="Z5571" s="12" t="inlineStr">
        <is>
          <t>NGR in the generator / terminal-box enclosure</t>
        </is>
      </c>
      <c r="AA5571" s="12">
        <f>N5571*O5571</f>
        <v/>
      </c>
    </row>
    <row r="5572">
      <c r="A5572" s="12" t="inlineStr">
        <is>
          <t>I-MV-0031</t>
        </is>
      </c>
      <c r="B5572" s="12" t="inlineStr">
        <is>
          <t>I</t>
        </is>
      </c>
      <c r="C5572" s="12" t="inlineStr">
        <is>
          <t>Modular / portable power</t>
        </is>
      </c>
      <c r="D5572" s="12" t="inlineStr">
        <is>
          <t>MTG-AUX 13.8 kV primary</t>
        </is>
      </c>
      <c r="E5572" s="12" t="inlineStr">
        <is>
          <t>MTG-SWG</t>
        </is>
      </c>
      <c r="F5572" s="12" t="inlineStr">
        <is>
          <t>MTG-SWG: 13.8 kV switchgear e-house (2 generator breakers, site feeder</t>
        </is>
      </c>
      <c r="G5572" s="12" t="inlineStr">
        <is>
          <t>MTG-AUX</t>
        </is>
      </c>
      <c r="H5572" s="12" t="inlineStr">
        <is>
          <t>MTG-AUX: 13.8 / 0.48 kV auxiliary transformer</t>
        </is>
      </c>
      <c r="I5572" s="12" t="inlineStr">
        <is>
          <t>MV 15 kV</t>
        </is>
      </c>
      <c r="J5572" s="12" t="inlineStr">
        <is>
          <t>MV-105 15 kV 1/C Cu, EPR 133%, Cu tape shield, PVC jacket (triplexed)</t>
        </is>
      </c>
      <c r="K5572" s="12" t="inlineStr">
        <is>
          <t>MV15|1/C|2</t>
        </is>
      </c>
      <c r="L5572" s="12" t="inlineStr">
        <is>
          <t>1/C</t>
        </is>
      </c>
      <c r="M5572" s="12" t="inlineStr">
        <is>
          <t>2</t>
        </is>
      </c>
      <c r="N5572" s="12" t="n">
        <v>1</v>
      </c>
      <c r="O5572" s="12" t="n">
        <v>3</v>
      </c>
      <c r="P5572" s="12" t="n">
        <v>13800</v>
      </c>
      <c r="Q5572" s="12" t="n">
        <v>750</v>
      </c>
      <c r="R5572" s="12" t="n">
        <v>31</v>
      </c>
      <c r="S5572" s="12" t="inlineStr">
        <is>
          <t>Duct bank</t>
        </is>
      </c>
      <c r="T5572" s="15" t="n">
        <v>34</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c r="AA5572" s="12">
        <f>N5572*O5572</f>
        <v/>
      </c>
    </row>
    <row r="5573">
      <c r="A5573" s="12" t="inlineStr">
        <is>
          <t>I-MV-0032</t>
        </is>
      </c>
      <c r="B5573" s="12" t="inlineStr">
        <is>
          <t>I</t>
        </is>
      </c>
      <c r="C5573" s="12" t="inlineStr">
        <is>
          <t>Modular / portable power</t>
        </is>
      </c>
      <c r="D5573" s="12" t="inlineStr">
        <is>
          <t>MTG-SWG 13.8 kV to MTG-GSU</t>
        </is>
      </c>
      <c r="E5573" s="12" t="inlineStr">
        <is>
          <t>MTG-SWG</t>
        </is>
      </c>
      <c r="F5573" s="12" t="inlineStr">
        <is>
          <t>MTG-SWG: 13.8 kV switchgear e-house (2 generator breakers, site feeder</t>
        </is>
      </c>
      <c r="G5573" s="12" t="inlineStr">
        <is>
          <t>MTG-GSU</t>
        </is>
      </c>
      <c r="H5573" s="12" t="inlineStr">
        <is>
          <t>MTG-GSU: 13.8 / 34.5 kV step-up, ~40 MVA (mid-size turbines)</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3</v>
      </c>
      <c r="O5573" s="12" t="n">
        <v>3</v>
      </c>
      <c r="P5573" s="12" t="n">
        <v>13800</v>
      </c>
      <c r="Q5573" s="12" t="n">
        <v>32000</v>
      </c>
      <c r="R5573" s="12" t="n">
        <v>1488</v>
      </c>
      <c r="S5573" s="12" t="inlineStr">
        <is>
          <t>Duct bank</t>
        </is>
      </c>
      <c r="T5573" s="15" t="n">
        <v>12</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3 sets per phase</t>
        </is>
      </c>
      <c r="AA5573" s="12">
        <f>N5573*O5573</f>
        <v/>
      </c>
    </row>
    <row r="5574">
      <c r="A5574" s="12" t="inlineStr">
        <is>
          <t>I-MV-0033</t>
        </is>
      </c>
      <c r="B5574" s="12" t="inlineStr">
        <is>
          <t>I</t>
        </is>
      </c>
      <c r="C5574" s="12" t="inlineStr">
        <is>
          <t>Modular / portable power</t>
        </is>
      </c>
      <c r="D5574" s="12" t="inlineStr">
        <is>
          <t>MTG-1 13.8 kV generator leads to the switchgear e-house</t>
        </is>
      </c>
      <c r="E5574" s="12" t="inlineStr">
        <is>
          <t>MTG-1</t>
        </is>
      </c>
      <c r="F5574" s="12" t="inlineStr">
        <is>
          <t xml:space="preserve">MTG-1: mid-size industrial gas-turbine generator package ~16 MW, 13.8 </t>
        </is>
      </c>
      <c r="G5574" s="12" t="inlineStr">
        <is>
          <t>MTG-SWG</t>
        </is>
      </c>
      <c r="H5574" s="12" t="inlineStr">
        <is>
          <t>MTG-SWG: 13.8 kV switchgear e-house (2 generator breakers, site feeder</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2</v>
      </c>
      <c r="O5574" s="12" t="n">
        <v>3</v>
      </c>
      <c r="P5574" s="12" t="n">
        <v>13800</v>
      </c>
      <c r="Q5574" s="12" t="n">
        <v>16000</v>
      </c>
      <c r="R5574" s="12" t="n">
        <v>744</v>
      </c>
      <c r="S5574" s="12" t="inlineStr">
        <is>
          <t>Duct bank</t>
        </is>
      </c>
      <c r="T5574" s="15" t="n">
        <v>39</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2 sets per phase</t>
        </is>
      </c>
      <c r="AA5574" s="12">
        <f>N5574*O5574</f>
        <v/>
      </c>
    </row>
    <row r="5575">
      <c r="A5575" s="12" t="inlineStr">
        <is>
          <t>I-MV-0034</t>
        </is>
      </c>
      <c r="B5575" s="12" t="inlineStr">
        <is>
          <t>I</t>
        </is>
      </c>
      <c r="C5575" s="12" t="inlineStr">
        <is>
          <t>Modular / portable power</t>
        </is>
      </c>
      <c r="D5575" s="12" t="inlineStr">
        <is>
          <t>MTG-2 13.8 kV generator leads to the switchgear e-house</t>
        </is>
      </c>
      <c r="E5575" s="12" t="inlineStr">
        <is>
          <t>MTG-2</t>
        </is>
      </c>
      <c r="F5575" s="12" t="inlineStr">
        <is>
          <t xml:space="preserve">MTG-2: mid-size industrial gas-turbine generator package ~16 MW, 13.8 </t>
        </is>
      </c>
      <c r="G5575" s="12" t="inlineStr">
        <is>
          <t>MTG-SWG</t>
        </is>
      </c>
      <c r="H5575" s="12" t="inlineStr">
        <is>
          <t>MTG-SWG: 13.8 kV switchgear e-house (2 generator breakers, site feeder</t>
        </is>
      </c>
      <c r="I5575" s="12" t="inlineStr">
        <is>
          <t>MV 15 kV</t>
        </is>
      </c>
      <c r="J5575" s="12" t="inlineStr">
        <is>
          <t>MV-105 15 kV 1/C Cu, EPR 133%, Cu tape shield, PVC jacket (triplexed)</t>
        </is>
      </c>
      <c r="K5575" s="12" t="inlineStr">
        <is>
          <t>MV15|1/C|750</t>
        </is>
      </c>
      <c r="L5575" s="12" t="inlineStr">
        <is>
          <t>1/C</t>
        </is>
      </c>
      <c r="M5575" s="12" t="inlineStr">
        <is>
          <t>750 kcmil</t>
        </is>
      </c>
      <c r="N5575" s="12" t="n">
        <v>2</v>
      </c>
      <c r="O5575" s="12" t="n">
        <v>3</v>
      </c>
      <c r="P5575" s="12" t="n">
        <v>13800</v>
      </c>
      <c r="Q5575" s="12" t="n">
        <v>16000</v>
      </c>
      <c r="R5575" s="12" t="n">
        <v>744</v>
      </c>
      <c r="S5575" s="12" t="inlineStr">
        <is>
          <t>Duct bank</t>
        </is>
      </c>
      <c r="T5575" s="15" t="n">
        <v>9</v>
      </c>
      <c r="U5575" s="15" t="n">
        <v>32</v>
      </c>
      <c r="V5575" s="15">
        <f>ROUNDUP((T5575+U5575+2*'Read Me'!$B$13)*(1+'Read Me'!$B$12),-1)</f>
        <v/>
      </c>
      <c r="W5575" s="15">
        <f>V5575*N5575*O5575</f>
        <v/>
      </c>
      <c r="X5575" s="12">
        <f>IF(LEFT(I5575,2)="MV",2*N5575*IF(L5575="1/C",O5575,1),0)</f>
        <v/>
      </c>
      <c r="Y5575" s="12">
        <f>IF(OR(LEFT(K5575,4)="LVAX",LEFT(K5575,6)="MV15AX",LEFT(K5575,4)="CTAX",LEFT(K5575,2)="W|"),2*N5575*O5575,0)</f>
        <v/>
      </c>
      <c r="Z5575" s="12" t="inlineStr">
        <is>
          <t>2 sets per phase</t>
        </is>
      </c>
      <c r="AA5575" s="12">
        <f>N5575*O5575</f>
        <v/>
      </c>
    </row>
    <row r="5576">
      <c r="A5576" s="12" t="inlineStr">
        <is>
          <t>I-MV-0035</t>
        </is>
      </c>
      <c r="B5576" s="12" t="inlineStr">
        <is>
          <t>I</t>
        </is>
      </c>
      <c r="C5576" s="12" t="inlineStr">
        <is>
          <t>Modular / portable power</t>
        </is>
      </c>
      <c r="D5576" s="12" t="inlineStr">
        <is>
          <t>TM-1 (trailer GT) generator leads to PAD-EH</t>
        </is>
      </c>
      <c r="E5576" s="12" t="inlineStr">
        <is>
          <t>TM-1</t>
        </is>
      </c>
      <c r="F5576" s="12" t="inlineStr">
        <is>
          <t>TM-1: trailer-mounted aeroderivative GT (~35 MW)</t>
        </is>
      </c>
      <c r="G5576" s="12" t="inlineStr">
        <is>
          <t>PAD-EH</t>
        </is>
      </c>
      <c r="H5576" s="12" t="inlineStr">
        <is>
          <t>PAD-EH 13.8 kV switchgear e-house</t>
        </is>
      </c>
      <c r="I5576" s="12" t="inlineStr">
        <is>
          <t>MV 15 kV</t>
        </is>
      </c>
      <c r="J5576" s="12" t="inlineStr">
        <is>
          <t>MV-105 15 kV 1/C Cu, EPR 133%, Cu tape shield, PVC jacket (triplexed)</t>
        </is>
      </c>
      <c r="K5576" s="12" t="inlineStr">
        <is>
          <t>MV15|1/C|1000</t>
        </is>
      </c>
      <c r="L5576" s="12" t="inlineStr">
        <is>
          <t>1/C</t>
        </is>
      </c>
      <c r="M5576" s="12" t="inlineStr">
        <is>
          <t>1000 kcmil</t>
        </is>
      </c>
      <c r="N5576" s="12" t="n">
        <v>3</v>
      </c>
      <c r="O5576" s="12" t="n">
        <v>3</v>
      </c>
      <c r="P5576" s="12" t="n">
        <v>13800</v>
      </c>
      <c r="Q5576" s="12" t="n">
        <v>35000</v>
      </c>
      <c r="R5576" s="12" t="n">
        <v>1464</v>
      </c>
      <c r="S5576" s="12" t="inlineStr">
        <is>
          <t>Duct bank</t>
        </is>
      </c>
      <c r="T5576" s="15" t="n">
        <v>442</v>
      </c>
      <c r="U5576" s="15" t="n">
        <v>32</v>
      </c>
      <c r="V5576" s="15">
        <f>ROUNDUP((T5576+U5576+2*'Read Me'!$B$13)*(1+'Read Me'!$B$12),-1)</f>
        <v/>
      </c>
      <c r="W5576" s="15">
        <f>V5576*N5576*O5576</f>
        <v/>
      </c>
      <c r="X5576" s="12">
        <f>IF(LEFT(I5576,2)="MV",2*N5576*IF(L5576="1/C",O5576,1),0)</f>
        <v/>
      </c>
      <c r="Y5576" s="12">
        <f>IF(OR(LEFT(K5576,4)="LVAX",LEFT(K5576,6)="MV15AX",LEFT(K5576,4)="CTAX",LEFT(K5576,2)="W|"),2*N5576*O5576,0)</f>
        <v/>
      </c>
      <c r="Z5576" s="12" t="inlineStr">
        <is>
          <t>3 per phase for 125 % (nine cables in the model)</t>
        </is>
      </c>
      <c r="AA5576" s="12">
        <f>N5576*O5576</f>
        <v/>
      </c>
    </row>
    <row r="5577">
      <c r="A5577" s="12" t="inlineStr">
        <is>
          <t>I-MV-0036</t>
        </is>
      </c>
      <c r="B5577" s="12" t="inlineStr">
        <is>
          <t>I</t>
        </is>
      </c>
      <c r="C5577" s="12" t="inlineStr">
        <is>
          <t>Modular / portable power</t>
        </is>
      </c>
      <c r="D5577" s="12" t="inlineStr">
        <is>
          <t>CHP-SWG 13.8 kV site feeder to PAD-EH</t>
        </is>
      </c>
      <c r="E5577" s="12" t="inlineStr">
        <is>
          <t>CHP-SWG</t>
        </is>
      </c>
      <c r="F5577" s="12" t="inlineStr">
        <is>
          <t>CHP-SWG: 13.8 kV switchgear container (4 engine breakers, site feeder)</t>
        </is>
      </c>
      <c r="G5577" s="12" t="inlineStr">
        <is>
          <t>PAD-EH</t>
        </is>
      </c>
      <c r="H5577" s="12" t="inlineStr">
        <is>
          <t>PAD-EH 13.8 kV switchgear e-house</t>
        </is>
      </c>
      <c r="I5577" s="12" t="inlineStr">
        <is>
          <t>MV 15 kV</t>
        </is>
      </c>
      <c r="J5577" s="12" t="inlineStr">
        <is>
          <t>MV-105 15 kV 1/C Cu, EPR 133%, Cu tape shield, PVC jacket (triplexed)</t>
        </is>
      </c>
      <c r="K5577" s="12" t="inlineStr">
        <is>
          <t>MV15|1/C|1000</t>
        </is>
      </c>
      <c r="L5577" s="12" t="inlineStr">
        <is>
          <t>1/C</t>
        </is>
      </c>
      <c r="M5577" s="12" t="inlineStr">
        <is>
          <t>1000 kcmil</t>
        </is>
      </c>
      <c r="N5577" s="12" t="n">
        <v>1</v>
      </c>
      <c r="O5577" s="12" t="n">
        <v>3</v>
      </c>
      <c r="P5577" s="12" t="n">
        <v>13800</v>
      </c>
      <c r="Q5577" s="12" t="n">
        <v>10000</v>
      </c>
      <c r="R5577" s="12" t="n">
        <v>465</v>
      </c>
      <c r="S5577" s="12" t="inlineStr">
        <is>
          <t>Duct bank</t>
        </is>
      </c>
      <c r="T5577" s="15" t="n">
        <v>214</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1 set per phase</t>
        </is>
      </c>
      <c r="AA5577" s="12">
        <f>N5577*O5577</f>
        <v/>
      </c>
    </row>
    <row r="5578">
      <c r="A5578" s="12" t="inlineStr">
        <is>
          <t>I-MV-0037</t>
        </is>
      </c>
      <c r="B5578" s="12" t="inlineStr">
        <is>
          <t>I</t>
        </is>
      </c>
      <c r="C5578" s="12" t="inlineStr">
        <is>
          <t>Modular / portable power</t>
        </is>
      </c>
      <c r="D5578" s="12" t="inlineStr">
        <is>
          <t>MT-TX 13.8 kV to PAD-EH</t>
        </is>
      </c>
      <c r="E5578" s="12" t="inlineStr">
        <is>
          <t>MT-TX</t>
        </is>
      </c>
      <c r="F5578" s="12" t="inlineStr">
        <is>
          <t>MT-TX: 480 V : 13.8 kV, ~3.75 MVA pad-mount (microturbine site)</t>
        </is>
      </c>
      <c r="G5578" s="12" t="inlineStr">
        <is>
          <t>PAD-EH</t>
        </is>
      </c>
      <c r="H5578" s="12" t="inlineStr">
        <is>
          <t>PAD-EH 13.8 kV switchgear e-house</t>
        </is>
      </c>
      <c r="I5578" s="12" t="inlineStr">
        <is>
          <t>MV 15 kV</t>
        </is>
      </c>
      <c r="J5578" s="12" t="inlineStr">
        <is>
          <t>MV-105 15 kV 1/C Cu, EPR 133%, Cu tape shield, PVC jacket (triplexed)</t>
        </is>
      </c>
      <c r="K5578" s="12" t="inlineStr">
        <is>
          <t>MV15|1/C|1/0</t>
        </is>
      </c>
      <c r="L5578" s="12" t="inlineStr">
        <is>
          <t>1/C</t>
        </is>
      </c>
      <c r="M5578" s="12" t="inlineStr">
        <is>
          <t>1/0</t>
        </is>
      </c>
      <c r="N5578" s="12" t="n">
        <v>1</v>
      </c>
      <c r="O5578" s="12" t="n">
        <v>3</v>
      </c>
      <c r="P5578" s="12" t="n">
        <v>13800</v>
      </c>
      <c r="Q5578" s="12" t="n">
        <v>3000</v>
      </c>
      <c r="R5578" s="12" t="n">
        <v>139</v>
      </c>
      <c r="S5578" s="12" t="inlineStr">
        <is>
          <t>Duct bank</t>
        </is>
      </c>
      <c r="T5578" s="15" t="n">
        <v>228</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1 set per phase</t>
        </is>
      </c>
      <c r="AA5578" s="12">
        <f>N5578*O5578</f>
        <v/>
      </c>
    </row>
    <row r="5579">
      <c r="A5579" s="12" t="inlineStr">
        <is>
          <t>I-MV-0038</t>
        </is>
      </c>
      <c r="B5579" s="12" t="inlineStr">
        <is>
          <t>I</t>
        </is>
      </c>
      <c r="C5579" s="12" t="inlineStr">
        <is>
          <t>Modular / portable power</t>
        </is>
      </c>
      <c r="D5579" s="12" t="inlineStr">
        <is>
          <t>PAD-EH 13.8 kV to PAD-GSU</t>
        </is>
      </c>
      <c r="E5579" s="12" t="inlineStr">
        <is>
          <t>PAD-EH</t>
        </is>
      </c>
      <c r="F5579" s="12" t="inlineStr">
        <is>
          <t>PAD-EH 13.8 kV switchgear e-house</t>
        </is>
      </c>
      <c r="G5579" s="12" t="inlineStr">
        <is>
          <t>PAD-GSU</t>
        </is>
      </c>
      <c r="H5579" s="12" t="inlineStr">
        <is>
          <t>PAD-GSU: 13.8 / 34.5 kV step-up, ~60 MVA (PAD-EH: TM-1, CHP site, MT-T</t>
        </is>
      </c>
      <c r="I5579" s="12" t="inlineStr">
        <is>
          <t>MV 15 kV</t>
        </is>
      </c>
      <c r="J5579" s="12" t="inlineStr">
        <is>
          <t>MV-105 15 kV 1/C Cu, EPR 133%, Cu tape shield, PVC jacket (triplexed)</t>
        </is>
      </c>
      <c r="K5579" s="12" t="inlineStr">
        <is>
          <t>MV15|1/C|1000</t>
        </is>
      </c>
      <c r="L5579" s="12" t="inlineStr">
        <is>
          <t>1/C</t>
        </is>
      </c>
      <c r="M5579" s="12" t="inlineStr">
        <is>
          <t>1000 kcmil</t>
        </is>
      </c>
      <c r="N5579" s="12" t="n">
        <v>5</v>
      </c>
      <c r="O5579" s="12" t="n">
        <v>3</v>
      </c>
      <c r="P5579" s="12" t="n">
        <v>13800</v>
      </c>
      <c r="Q5579" s="12" t="n">
        <v>52000</v>
      </c>
      <c r="R5579" s="12" t="n">
        <v>2417</v>
      </c>
      <c r="S5579" s="12" t="inlineStr">
        <is>
          <t>Duct bank</t>
        </is>
      </c>
      <c r="T5579" s="15" t="n">
        <v>44</v>
      </c>
      <c r="U5579" s="15" t="n">
        <v>32</v>
      </c>
      <c r="V5579" s="15">
        <f>ROUNDUP((T5579+U5579+2*'Read Me'!$B$13)*(1+'Read Me'!$B$12),-1)</f>
        <v/>
      </c>
      <c r="W5579" s="15">
        <f>V5579*N5579*O5579</f>
        <v/>
      </c>
      <c r="X5579" s="12">
        <f>IF(LEFT(I5579,2)="MV",2*N5579*IF(L5579="1/C",O5579,1),0)</f>
        <v/>
      </c>
      <c r="Y5579" s="12">
        <f>IF(OR(LEFT(K5579,4)="LVAX",LEFT(K5579,6)="MV15AX",LEFT(K5579,4)="CTAX",LEFT(K5579,2)="W|"),2*N5579*O5579,0)</f>
        <v/>
      </c>
      <c r="Z5579" s="12" t="inlineStr">
        <is>
          <t>5 sets per phase</t>
        </is>
      </c>
      <c r="AA5579" s="12">
        <f>N5579*O5579</f>
        <v/>
      </c>
    </row>
    <row r="5580">
      <c r="A5580" s="12" t="inlineStr">
        <is>
          <t>I-MV-0039</t>
        </is>
      </c>
      <c r="B5580" s="12" t="inlineStr">
        <is>
          <t>I</t>
        </is>
      </c>
      <c r="C5580" s="12" t="inlineStr">
        <is>
          <t>Modular / portable power</t>
        </is>
      </c>
      <c r="D5580" s="12" t="inlineStr">
        <is>
          <t>RICE-1 generator leads to the PCM</t>
        </is>
      </c>
      <c r="E5580" s="12" t="inlineStr">
        <is>
          <t>RICE-1</t>
        </is>
      </c>
      <c r="F5580" s="12" t="inlineStr">
        <is>
          <t>RICE engine-generator 1</t>
        </is>
      </c>
      <c r="G5580" s="12" t="inlineStr"/>
      <c r="H5580" s="12" t="inlineStr">
        <is>
          <t>PCM: power control module</t>
        </is>
      </c>
      <c r="I5580" s="12" t="inlineStr">
        <is>
          <t>MV 15 kV</t>
        </is>
      </c>
      <c r="J5580" s="12" t="inlineStr">
        <is>
          <t>MV-105 15 kV 1/C Cu, EPR 133%, Cu tape shield, PVC jacket (triplexed)</t>
        </is>
      </c>
      <c r="K5580" s="12" t="inlineStr">
        <is>
          <t>MV15|1/C|750</t>
        </is>
      </c>
      <c r="L5580" s="12" t="inlineStr">
        <is>
          <t>1/C</t>
        </is>
      </c>
      <c r="M5580" s="12" t="inlineStr">
        <is>
          <t>750 kcmil</t>
        </is>
      </c>
      <c r="N5580" s="12" t="n">
        <v>2</v>
      </c>
      <c r="O5580" s="12" t="n">
        <v>3</v>
      </c>
      <c r="P5580" s="12" t="n">
        <v>13800</v>
      </c>
      <c r="Q5580" s="12" t="n">
        <v>18400</v>
      </c>
      <c r="R5580" s="12" t="n">
        <v>855</v>
      </c>
      <c r="S5580" s="12" t="inlineStr">
        <is>
          <t>Duct bank</t>
        </is>
      </c>
      <c r="T5580" s="15" t="n">
        <v>542</v>
      </c>
      <c r="U5580" s="15" t="n">
        <v>111</v>
      </c>
      <c r="V5580" s="15">
        <f>ROUNDUP((T5580+U5580+2*'Read Me'!$B$13)*(1+'Read Me'!$B$12),-1)</f>
        <v/>
      </c>
      <c r="W5580" s="15">
        <f>V5580*N5580*O5580</f>
        <v/>
      </c>
      <c r="X5580" s="12">
        <f>IF(LEFT(I5580,2)="MV",2*N5580*IF(L5580="1/C",O5580,1),0)</f>
        <v/>
      </c>
      <c r="Y5580" s="12">
        <f>IF(OR(LEFT(K5580,4)="LVAX",LEFT(K5580,6)="MV15AX",LEFT(K5580,4)="CTAX",LEFT(K5580,2)="W|"),2*N5580*O5580,0)</f>
        <v/>
      </c>
      <c r="Z5580" s="12" t="inlineStr">
        <is>
          <t>18-cylinder ~18 MW class (typ.), 0.9 pf</t>
        </is>
      </c>
      <c r="AA5580" s="12">
        <f>N5580*O5580</f>
        <v/>
      </c>
    </row>
    <row r="5581">
      <c r="A5581" s="12" t="inlineStr">
        <is>
          <t>I-MV-0040</t>
        </is>
      </c>
      <c r="B5581" s="12" t="inlineStr">
        <is>
          <t>I</t>
        </is>
      </c>
      <c r="C5581" s="12" t="inlineStr">
        <is>
          <t>Modular / portable power</t>
        </is>
      </c>
      <c r="D5581" s="12" t="inlineStr">
        <is>
          <t>RICE-2 generator leads to the PCM</t>
        </is>
      </c>
      <c r="E5581" s="12" t="inlineStr">
        <is>
          <t>RICE-2</t>
        </is>
      </c>
      <c r="F5581" s="12" t="inlineStr">
        <is>
          <t>RICE engine-generator 2</t>
        </is>
      </c>
      <c r="G5581" s="12" t="inlineStr"/>
      <c r="H5581" s="12" t="inlineStr">
        <is>
          <t>PCM: power control module</t>
        </is>
      </c>
      <c r="I5581" s="12" t="inlineStr">
        <is>
          <t>MV 15 kV</t>
        </is>
      </c>
      <c r="J5581" s="12" t="inlineStr">
        <is>
          <t>MV-105 15 kV 1/C Cu, EPR 133%, Cu tape shield, PVC jacket (triplexed)</t>
        </is>
      </c>
      <c r="K5581" s="12" t="inlineStr">
        <is>
          <t>MV15|1/C|750</t>
        </is>
      </c>
      <c r="L5581" s="12" t="inlineStr">
        <is>
          <t>1/C</t>
        </is>
      </c>
      <c r="M5581" s="12" t="inlineStr">
        <is>
          <t>750 kcmil</t>
        </is>
      </c>
      <c r="N5581" s="12" t="n">
        <v>2</v>
      </c>
      <c r="O5581" s="12" t="n">
        <v>3</v>
      </c>
      <c r="P5581" s="12" t="n">
        <v>13800</v>
      </c>
      <c r="Q5581" s="12" t="n">
        <v>18400</v>
      </c>
      <c r="R5581" s="12" t="n">
        <v>855</v>
      </c>
      <c r="S5581" s="12" t="inlineStr">
        <is>
          <t>Duct bank</t>
        </is>
      </c>
      <c r="T5581" s="15" t="n">
        <v>516</v>
      </c>
      <c r="U5581" s="15" t="n">
        <v>109</v>
      </c>
      <c r="V5581" s="15">
        <f>ROUNDUP((T5581+U5581+2*'Read Me'!$B$13)*(1+'Read Me'!$B$12),-1)</f>
        <v/>
      </c>
      <c r="W5581" s="15">
        <f>V5581*N5581*O5581</f>
        <v/>
      </c>
      <c r="X5581" s="12">
        <f>IF(LEFT(I5581,2)="MV",2*N5581*IF(L5581="1/C",O5581,1),0)</f>
        <v/>
      </c>
      <c r="Y5581" s="12">
        <f>IF(OR(LEFT(K5581,4)="LVAX",LEFT(K5581,6)="MV15AX",LEFT(K5581,4)="CTAX",LEFT(K5581,2)="W|"),2*N5581*O5581,0)</f>
        <v/>
      </c>
      <c r="Z5581" s="12" t="inlineStr">
        <is>
          <t>18-cylinder ~18 MW class (typ.), 0.9 pf</t>
        </is>
      </c>
      <c r="AA5581" s="12">
        <f>N5581*O5581</f>
        <v/>
      </c>
    </row>
    <row r="5582">
      <c r="A5582" s="12" t="inlineStr">
        <is>
          <t>I-MV-0041</t>
        </is>
      </c>
      <c r="B5582" s="12" t="inlineStr">
        <is>
          <t>I</t>
        </is>
      </c>
      <c r="C5582" s="12" t="inlineStr">
        <is>
          <t>Modular / portable power</t>
        </is>
      </c>
      <c r="D5582" s="12" t="inlineStr">
        <is>
          <t>RICE-3 generator leads to the PCM</t>
        </is>
      </c>
      <c r="E5582" s="12" t="inlineStr">
        <is>
          <t>RICE-3</t>
        </is>
      </c>
      <c r="F5582" s="12" t="inlineStr">
        <is>
          <t>RICE engine-generator 3</t>
        </is>
      </c>
      <c r="G5582" s="12" t="inlineStr"/>
      <c r="H5582" s="12" t="inlineStr">
        <is>
          <t>PCM: power control module</t>
        </is>
      </c>
      <c r="I5582" s="12" t="inlineStr">
        <is>
          <t>MV 15 kV</t>
        </is>
      </c>
      <c r="J5582" s="12" t="inlineStr">
        <is>
          <t>MV-105 15 kV 1/C Cu, EPR 133%, Cu tape shield, PVC jacket (triplexed)</t>
        </is>
      </c>
      <c r="K5582" s="12" t="inlineStr">
        <is>
          <t>MV15|1/C|750</t>
        </is>
      </c>
      <c r="L5582" s="12" t="inlineStr">
        <is>
          <t>1/C</t>
        </is>
      </c>
      <c r="M5582" s="12" t="inlineStr">
        <is>
          <t>750 kcmil</t>
        </is>
      </c>
      <c r="N5582" s="12" t="n">
        <v>2</v>
      </c>
      <c r="O5582" s="12" t="n">
        <v>3</v>
      </c>
      <c r="P5582" s="12" t="n">
        <v>13800</v>
      </c>
      <c r="Q5582" s="12" t="n">
        <v>18400</v>
      </c>
      <c r="R5582" s="12" t="n">
        <v>855</v>
      </c>
      <c r="S5582" s="12" t="inlineStr">
        <is>
          <t>Duct bank</t>
        </is>
      </c>
      <c r="T5582" s="15" t="n">
        <v>516</v>
      </c>
      <c r="U5582" s="15" t="n">
        <v>81</v>
      </c>
      <c r="V5582" s="15">
        <f>ROUNDUP((T5582+U5582+2*'Read Me'!$B$13)*(1+'Read Me'!$B$12),-1)</f>
        <v/>
      </c>
      <c r="W5582" s="15">
        <f>V5582*N5582*O5582</f>
        <v/>
      </c>
      <c r="X5582" s="12">
        <f>IF(LEFT(I5582,2)="MV",2*N5582*IF(L5582="1/C",O5582,1),0)</f>
        <v/>
      </c>
      <c r="Y5582" s="12">
        <f>IF(OR(LEFT(K5582,4)="LVAX",LEFT(K5582,6)="MV15AX",LEFT(K5582,4)="CTAX",LEFT(K5582,2)="W|"),2*N5582*O5582,0)</f>
        <v/>
      </c>
      <c r="Z5582" s="12" t="inlineStr">
        <is>
          <t>18-cylinder ~18 MW class (typ.), 0.9 pf</t>
        </is>
      </c>
      <c r="AA5582" s="12">
        <f>N5582*O5582</f>
        <v/>
      </c>
    </row>
    <row r="5583">
      <c r="A5583" s="12" t="inlineStr">
        <is>
          <t>I-MV-0042</t>
        </is>
      </c>
      <c r="B5583" s="12" t="inlineStr">
        <is>
          <t>I</t>
        </is>
      </c>
      <c r="C5583" s="12" t="inlineStr">
        <is>
          <t>Modular / portable power</t>
        </is>
      </c>
      <c r="D5583" s="12" t="inlineStr">
        <is>
          <t>RICE-4 generator leads to the PCM</t>
        </is>
      </c>
      <c r="E5583" s="12" t="inlineStr">
        <is>
          <t>RICE-4</t>
        </is>
      </c>
      <c r="F5583" s="12" t="inlineStr">
        <is>
          <t>RICE engine-generator 4</t>
        </is>
      </c>
      <c r="G5583" s="12" t="inlineStr"/>
      <c r="H5583" s="12" t="inlineStr">
        <is>
          <t>PCM: power control module</t>
        </is>
      </c>
      <c r="I5583" s="12" t="inlineStr">
        <is>
          <t>MV 15 kV</t>
        </is>
      </c>
      <c r="J5583" s="12" t="inlineStr">
        <is>
          <t>MV-105 15 kV 1/C Cu, EPR 133%, Cu tape shield, PVC jacket (triplexed)</t>
        </is>
      </c>
      <c r="K5583" s="12" t="inlineStr">
        <is>
          <t>MV15|1/C|750</t>
        </is>
      </c>
      <c r="L5583" s="12" t="inlineStr">
        <is>
          <t>1/C</t>
        </is>
      </c>
      <c r="M5583" s="12" t="inlineStr">
        <is>
          <t>750 kcmil</t>
        </is>
      </c>
      <c r="N5583" s="12" t="n">
        <v>2</v>
      </c>
      <c r="O5583" s="12" t="n">
        <v>3</v>
      </c>
      <c r="P5583" s="12" t="n">
        <v>13800</v>
      </c>
      <c r="Q5583" s="12" t="n">
        <v>18400</v>
      </c>
      <c r="R5583" s="12" t="n">
        <v>855</v>
      </c>
      <c r="S5583" s="12" t="inlineStr">
        <is>
          <t>Duct bank</t>
        </is>
      </c>
      <c r="T5583" s="15" t="n">
        <v>516</v>
      </c>
      <c r="U5583" s="15" t="n">
        <v>53</v>
      </c>
      <c r="V5583" s="15">
        <f>ROUNDUP((T5583+U5583+2*'Read Me'!$B$13)*(1+'Read Me'!$B$12),-1)</f>
        <v/>
      </c>
      <c r="W5583" s="15">
        <f>V5583*N5583*O5583</f>
        <v/>
      </c>
      <c r="X5583" s="12">
        <f>IF(LEFT(I5583,2)="MV",2*N5583*IF(L5583="1/C",O5583,1),0)</f>
        <v/>
      </c>
      <c r="Y5583" s="12">
        <f>IF(OR(LEFT(K5583,4)="LVAX",LEFT(K5583,6)="MV15AX",LEFT(K5583,4)="CTAX",LEFT(K5583,2)="W|"),2*N5583*O5583,0)</f>
        <v/>
      </c>
      <c r="Z5583" s="12" t="inlineStr">
        <is>
          <t>18-cylinder ~18 MW class (typ.), 0.9 pf</t>
        </is>
      </c>
      <c r="AA5583" s="12">
        <f>N5583*O5583</f>
        <v/>
      </c>
    </row>
    <row r="5584">
      <c r="A5584" s="12" t="inlineStr">
        <is>
          <t>I-MV-0043</t>
        </is>
      </c>
      <c r="B5584" s="12" t="inlineStr">
        <is>
          <t>I</t>
        </is>
      </c>
      <c r="C5584" s="12" t="inlineStr">
        <is>
          <t>Modular / portable power</t>
        </is>
      </c>
      <c r="D5584" s="12" t="inlineStr">
        <is>
          <t>RICE-5 generator leads to the PCM</t>
        </is>
      </c>
      <c r="E5584" s="12" t="inlineStr">
        <is>
          <t>RICE-5</t>
        </is>
      </c>
      <c r="F5584" s="12" t="inlineStr">
        <is>
          <t>RICE engine-generator 5</t>
        </is>
      </c>
      <c r="G5584" s="12" t="inlineStr"/>
      <c r="H5584" s="12" t="inlineStr">
        <is>
          <t>PCM: power control module</t>
        </is>
      </c>
      <c r="I5584" s="12" t="inlineStr">
        <is>
          <t>MV 15 kV</t>
        </is>
      </c>
      <c r="J5584" s="12" t="inlineStr">
        <is>
          <t>MV-105 15 kV 1/C Cu, EPR 133%, Cu tape shield, PVC jacket (triplexed)</t>
        </is>
      </c>
      <c r="K5584" s="12" t="inlineStr">
        <is>
          <t>MV15|1/C|750</t>
        </is>
      </c>
      <c r="L5584" s="12" t="inlineStr">
        <is>
          <t>1/C</t>
        </is>
      </c>
      <c r="M5584" s="12" t="inlineStr">
        <is>
          <t>750 kcmil</t>
        </is>
      </c>
      <c r="N5584" s="12" t="n">
        <v>2</v>
      </c>
      <c r="O5584" s="12" t="n">
        <v>3</v>
      </c>
      <c r="P5584" s="12" t="n">
        <v>13800</v>
      </c>
      <c r="Q5584" s="12" t="n">
        <v>18400</v>
      </c>
      <c r="R5584" s="12" t="n">
        <v>855</v>
      </c>
      <c r="S5584" s="12" t="inlineStr">
        <is>
          <t>Duct bank</t>
        </is>
      </c>
      <c r="T5584" s="15" t="n">
        <v>188</v>
      </c>
      <c r="U5584" s="15" t="n">
        <v>50</v>
      </c>
      <c r="V5584" s="15">
        <f>ROUNDUP((T5584+U5584+2*'Read Me'!$B$13)*(1+'Read Me'!$B$12),-1)</f>
        <v/>
      </c>
      <c r="W5584" s="15">
        <f>V5584*N5584*O5584</f>
        <v/>
      </c>
      <c r="X5584" s="12">
        <f>IF(LEFT(I5584,2)="MV",2*N5584*IF(L5584="1/C",O5584,1),0)</f>
        <v/>
      </c>
      <c r="Y5584" s="12">
        <f>IF(OR(LEFT(K5584,4)="LVAX",LEFT(K5584,6)="MV15AX",LEFT(K5584,4)="CTAX",LEFT(K5584,2)="W|"),2*N5584*O5584,0)</f>
        <v/>
      </c>
      <c r="Z5584" s="12" t="inlineStr">
        <is>
          <t>18-cylinder ~18 MW class (typ.), 0.9 pf</t>
        </is>
      </c>
      <c r="AA5584" s="12">
        <f>N5584*O5584</f>
        <v/>
      </c>
    </row>
    <row r="5585">
      <c r="A5585" s="12" t="inlineStr">
        <is>
          <t>I-MV-0044</t>
        </is>
      </c>
      <c r="B5585" s="12" t="inlineStr">
        <is>
          <t>I</t>
        </is>
      </c>
      <c r="C5585" s="12" t="inlineStr">
        <is>
          <t>Modular / portable power</t>
        </is>
      </c>
      <c r="D5585" s="12" t="inlineStr">
        <is>
          <t>RICE-6 generator leads to the PCM</t>
        </is>
      </c>
      <c r="E5585" s="12" t="inlineStr">
        <is>
          <t>RICE-6</t>
        </is>
      </c>
      <c r="F5585" s="12" t="inlineStr">
        <is>
          <t>RICE engine-generator 6</t>
        </is>
      </c>
      <c r="G5585" s="12" t="inlineStr"/>
      <c r="H5585" s="12" t="inlineStr">
        <is>
          <t>PCM: power control module</t>
        </is>
      </c>
      <c r="I5585" s="12" t="inlineStr">
        <is>
          <t>MV 15 kV</t>
        </is>
      </c>
      <c r="J5585" s="12" t="inlineStr">
        <is>
          <t>MV-105 15 kV 1/C Cu, EPR 133%, Cu tape shield, PVC jacket (triplexed)</t>
        </is>
      </c>
      <c r="K5585" s="12" t="inlineStr">
        <is>
          <t>MV15|1/C|750</t>
        </is>
      </c>
      <c r="L5585" s="12" t="inlineStr">
        <is>
          <t>1/C</t>
        </is>
      </c>
      <c r="M5585" s="12" t="inlineStr">
        <is>
          <t>750 kcmil</t>
        </is>
      </c>
      <c r="N5585" s="12" t="n">
        <v>2</v>
      </c>
      <c r="O5585" s="12" t="n">
        <v>3</v>
      </c>
      <c r="P5585" s="12" t="n">
        <v>13800</v>
      </c>
      <c r="Q5585" s="12" t="n">
        <v>18400</v>
      </c>
      <c r="R5585" s="12" t="n">
        <v>855</v>
      </c>
      <c r="S5585" s="12" t="inlineStr">
        <is>
          <t>Duct bank</t>
        </is>
      </c>
      <c r="T5585" s="15" t="n">
        <v>132</v>
      </c>
      <c r="U5585" s="15" t="n">
        <v>78</v>
      </c>
      <c r="V5585" s="15">
        <f>ROUNDUP((T5585+U5585+2*'Read Me'!$B$13)*(1+'Read Me'!$B$12),-1)</f>
        <v/>
      </c>
      <c r="W5585" s="15">
        <f>V5585*N5585*O5585</f>
        <v/>
      </c>
      <c r="X5585" s="12">
        <f>IF(LEFT(I5585,2)="MV",2*N5585*IF(L5585="1/C",O5585,1),0)</f>
        <v/>
      </c>
      <c r="Y5585" s="12">
        <f>IF(OR(LEFT(K5585,4)="LVAX",LEFT(K5585,6)="MV15AX",LEFT(K5585,4)="CTAX",LEFT(K5585,2)="W|"),2*N5585*O5585,0)</f>
        <v/>
      </c>
      <c r="Z5585" s="12" t="inlineStr">
        <is>
          <t>18-cylinder ~18 MW class (typ.), 0.9 pf</t>
        </is>
      </c>
      <c r="AA5585" s="12">
        <f>N5585*O5585</f>
        <v/>
      </c>
    </row>
    <row r="5586">
      <c r="A5586" s="12" t="inlineStr">
        <is>
          <t>I-MV-0045</t>
        </is>
      </c>
      <c r="B5586" s="12" t="inlineStr">
        <is>
          <t>I</t>
        </is>
      </c>
      <c r="C5586" s="12" t="inlineStr">
        <is>
          <t>Modular / portable power</t>
        </is>
      </c>
      <c r="D5586" s="12" t="inlineStr">
        <is>
          <t>RICE-7 generator leads to the PCM</t>
        </is>
      </c>
      <c r="E5586" s="12" t="inlineStr">
        <is>
          <t>RICE-7</t>
        </is>
      </c>
      <c r="F5586" s="12" t="inlineStr">
        <is>
          <t>RICE engine-generator 7</t>
        </is>
      </c>
      <c r="G5586" s="12" t="inlineStr"/>
      <c r="H5586" s="12" t="inlineStr">
        <is>
          <t>PCM: power control module</t>
        </is>
      </c>
      <c r="I5586" s="12" t="inlineStr">
        <is>
          <t>MV 15 kV</t>
        </is>
      </c>
      <c r="J5586" s="12" t="inlineStr">
        <is>
          <t>MV-105 15 kV 1/C Cu, EPR 133%, Cu tape shield, PVC jacket (triplexed)</t>
        </is>
      </c>
      <c r="K5586" s="12" t="inlineStr">
        <is>
          <t>MV15|1/C|750</t>
        </is>
      </c>
      <c r="L5586" s="12" t="inlineStr">
        <is>
          <t>1/C</t>
        </is>
      </c>
      <c r="M5586" s="12" t="inlineStr">
        <is>
          <t>750 kcmil</t>
        </is>
      </c>
      <c r="N5586" s="12" t="n">
        <v>2</v>
      </c>
      <c r="O5586" s="12" t="n">
        <v>3</v>
      </c>
      <c r="P5586" s="12" t="n">
        <v>13800</v>
      </c>
      <c r="Q5586" s="12" t="n">
        <v>18400</v>
      </c>
      <c r="R5586" s="12" t="n">
        <v>855</v>
      </c>
      <c r="S5586" s="12" t="inlineStr">
        <is>
          <t>Duct bank</t>
        </is>
      </c>
      <c r="T5586" s="15" t="n">
        <v>76</v>
      </c>
      <c r="U5586" s="15" t="n">
        <v>106</v>
      </c>
      <c r="V5586" s="15">
        <f>ROUNDUP((T5586+U5586+2*'Read Me'!$B$13)*(1+'Read Me'!$B$12),-1)</f>
        <v/>
      </c>
      <c r="W5586" s="15">
        <f>V5586*N5586*O5586</f>
        <v/>
      </c>
      <c r="X5586" s="12">
        <f>IF(LEFT(I5586,2)="MV",2*N5586*IF(L5586="1/C",O5586,1),0)</f>
        <v/>
      </c>
      <c r="Y5586" s="12">
        <f>IF(OR(LEFT(K5586,4)="LVAX",LEFT(K5586,6)="MV15AX",LEFT(K5586,4)="CTAX",LEFT(K5586,2)="W|"),2*N5586*O5586,0)</f>
        <v/>
      </c>
      <c r="Z5586" s="12" t="inlineStr">
        <is>
          <t>18-cylinder ~18 MW class (typ.), 0.9 pf</t>
        </is>
      </c>
      <c r="AA5586" s="12">
        <f>N5586*O5586</f>
        <v/>
      </c>
    </row>
    <row r="5587">
      <c r="A5587" s="12" t="inlineStr">
        <is>
          <t>I-MV-0046</t>
        </is>
      </c>
      <c r="B5587" s="12" t="inlineStr">
        <is>
          <t>I</t>
        </is>
      </c>
      <c r="C5587" s="12" t="inlineStr">
        <is>
          <t>Modular / portable power</t>
        </is>
      </c>
      <c r="D5587" s="12" t="inlineStr">
        <is>
          <t>RICE-8 generator leads to the PCM</t>
        </is>
      </c>
      <c r="E5587" s="12" t="inlineStr">
        <is>
          <t>RICE-8</t>
        </is>
      </c>
      <c r="F5587" s="12" t="inlineStr">
        <is>
          <t>RICE engine-generator 8</t>
        </is>
      </c>
      <c r="G5587" s="12" t="inlineStr"/>
      <c r="H5587" s="12" t="inlineStr">
        <is>
          <t>PCM: power control module</t>
        </is>
      </c>
      <c r="I5587" s="12" t="inlineStr">
        <is>
          <t>MV 15 kV</t>
        </is>
      </c>
      <c r="J5587" s="12" t="inlineStr">
        <is>
          <t>MV-105 15 kV 1/C Cu, EPR 133%, Cu tape shield, PVC jacket (triplexed)</t>
        </is>
      </c>
      <c r="K5587" s="12" t="inlineStr">
        <is>
          <t>MV15|1/C|750</t>
        </is>
      </c>
      <c r="L5587" s="12" t="inlineStr">
        <is>
          <t>1/C</t>
        </is>
      </c>
      <c r="M5587" s="12" t="inlineStr">
        <is>
          <t>750 kcmil</t>
        </is>
      </c>
      <c r="N5587" s="12" t="n">
        <v>2</v>
      </c>
      <c r="O5587" s="12" t="n">
        <v>3</v>
      </c>
      <c r="P5587" s="12" t="n">
        <v>13800</v>
      </c>
      <c r="Q5587" s="12" t="n">
        <v>18400</v>
      </c>
      <c r="R5587" s="12" t="n">
        <v>855</v>
      </c>
      <c r="S5587" s="12" t="inlineStr">
        <is>
          <t>Duct bank</t>
        </is>
      </c>
      <c r="T5587" s="15" t="n">
        <v>57</v>
      </c>
      <c r="U5587" s="15" t="n">
        <v>97</v>
      </c>
      <c r="V5587" s="15">
        <f>ROUNDUP((T5587+U5587+2*'Read Me'!$B$13)*(1+'Read Me'!$B$12),-1)</f>
        <v/>
      </c>
      <c r="W5587" s="15">
        <f>V5587*N5587*O5587</f>
        <v/>
      </c>
      <c r="X5587" s="12">
        <f>IF(LEFT(I5587,2)="MV",2*N5587*IF(L5587="1/C",O5587,1),0)</f>
        <v/>
      </c>
      <c r="Y5587" s="12">
        <f>IF(OR(LEFT(K5587,4)="LVAX",LEFT(K5587,6)="MV15AX",LEFT(K5587,4)="CTAX",LEFT(K5587,2)="W|"),2*N5587*O5587,0)</f>
        <v/>
      </c>
      <c r="Z5587" s="12" t="inlineStr">
        <is>
          <t>18-cylinder ~18 MW class (typ.), 0.9 pf</t>
        </is>
      </c>
      <c r="AA5587" s="12">
        <f>N5587*O5587</f>
        <v/>
      </c>
    </row>
    <row r="5588">
      <c r="A5588" s="12" t="inlineStr">
        <is>
          <t>I-MV-0047</t>
        </is>
      </c>
      <c r="B5588" s="12" t="inlineStr">
        <is>
          <t>I</t>
        </is>
      </c>
      <c r="C5588" s="12" t="inlineStr">
        <is>
          <t>Modular / portable power</t>
        </is>
      </c>
      <c r="D5588" s="12" t="inlineStr">
        <is>
          <t>PCM section A (RICE 1-2) to RICE-GSU-A</t>
        </is>
      </c>
      <c r="E5588" s="12" t="inlineStr"/>
      <c r="F5588" s="12" t="inlineStr">
        <is>
          <t>PCM: power control module</t>
        </is>
      </c>
      <c r="G5588" s="12" t="inlineStr">
        <is>
          <t>RICE-GSU-A</t>
        </is>
      </c>
      <c r="H5588" s="12" t="inlineStr">
        <is>
          <t>RICE-GSU-A: 13.8 / 34.5 kV group step-up, ~45 MVA (RICE 1-2)</t>
        </is>
      </c>
      <c r="I5588" s="12" t="inlineStr">
        <is>
          <t>MV 15 kV</t>
        </is>
      </c>
      <c r="J5588" s="12" t="inlineStr">
        <is>
          <t>MV-105 15 kV 1/C Cu, EPR 133%, Cu tape shield, PVC jacket (triplexed)</t>
        </is>
      </c>
      <c r="K5588" s="12" t="inlineStr">
        <is>
          <t>MV15|1/C|750</t>
        </is>
      </c>
      <c r="L5588" s="12" t="inlineStr">
        <is>
          <t>1/C</t>
        </is>
      </c>
      <c r="M5588" s="12" t="inlineStr">
        <is>
          <t>750 kcmil</t>
        </is>
      </c>
      <c r="N5588" s="12" t="n">
        <v>4</v>
      </c>
      <c r="O5588" s="12" t="n">
        <v>3</v>
      </c>
      <c r="P5588" s="12" t="n">
        <v>13800</v>
      </c>
      <c r="Q5588" s="12" t="n">
        <v>36800</v>
      </c>
      <c r="R5588" s="12" t="n">
        <v>1711</v>
      </c>
      <c r="S5588" s="12" t="inlineStr">
        <is>
          <t>Duct bank</t>
        </is>
      </c>
      <c r="T5588" s="15" t="n">
        <v>78</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4 sets per phase</t>
        </is>
      </c>
      <c r="AA5588" s="12">
        <f>N5588*O5588</f>
        <v/>
      </c>
    </row>
    <row r="5589">
      <c r="A5589" s="12" t="inlineStr">
        <is>
          <t>I-MV-0048</t>
        </is>
      </c>
      <c r="B5589" s="12" t="inlineStr">
        <is>
          <t>I</t>
        </is>
      </c>
      <c r="C5589" s="12" t="inlineStr">
        <is>
          <t>Modular / portable power</t>
        </is>
      </c>
      <c r="D5589" s="12" t="inlineStr">
        <is>
          <t>PCM section B (RICE 3-4) to RICE-GSU-B</t>
        </is>
      </c>
      <c r="E5589" s="12" t="inlineStr"/>
      <c r="F5589" s="12" t="inlineStr">
        <is>
          <t>PCM: power control module</t>
        </is>
      </c>
      <c r="G5589" s="12" t="inlineStr">
        <is>
          <t>RICE-GSU-B</t>
        </is>
      </c>
      <c r="H5589" s="12" t="inlineStr">
        <is>
          <t>RICE-GSU-B: 13.8 / 34.5 kV group step-up, ~45 MVA (RICE 3-4)</t>
        </is>
      </c>
      <c r="I5589" s="12" t="inlineStr">
        <is>
          <t>MV 15 kV</t>
        </is>
      </c>
      <c r="J5589" s="12" t="inlineStr">
        <is>
          <t>MV-105 15 kV 1/C Cu, EPR 133%, Cu tape shield, PVC jacket (triplexed)</t>
        </is>
      </c>
      <c r="K5589" s="12" t="inlineStr">
        <is>
          <t>MV15|1/C|750</t>
        </is>
      </c>
      <c r="L5589" s="12" t="inlineStr">
        <is>
          <t>1/C</t>
        </is>
      </c>
      <c r="M5589" s="12" t="inlineStr">
        <is>
          <t>750 kcmil</t>
        </is>
      </c>
      <c r="N5589" s="12" t="n">
        <v>4</v>
      </c>
      <c r="O5589" s="12" t="n">
        <v>3</v>
      </c>
      <c r="P5589" s="12" t="n">
        <v>13800</v>
      </c>
      <c r="Q5589" s="12" t="n">
        <v>36800</v>
      </c>
      <c r="R5589" s="12" t="n">
        <v>1711</v>
      </c>
      <c r="S5589" s="12" t="inlineStr">
        <is>
          <t>Duct bank</t>
        </is>
      </c>
      <c r="T5589" s="15" t="n">
        <v>105</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is>
          <t>4 sets per phase</t>
        </is>
      </c>
      <c r="AA5589" s="12">
        <f>N5589*O5589</f>
        <v/>
      </c>
    </row>
    <row r="5590">
      <c r="A5590" s="12" t="inlineStr">
        <is>
          <t>I-MV-0049</t>
        </is>
      </c>
      <c r="B5590" s="12" t="inlineStr">
        <is>
          <t>I</t>
        </is>
      </c>
      <c r="C5590" s="12" t="inlineStr">
        <is>
          <t>Modular / portable power</t>
        </is>
      </c>
      <c r="D5590" s="12" t="inlineStr">
        <is>
          <t>PCM section C (RICE 5-6) to RICE-GSU-C</t>
        </is>
      </c>
      <c r="E5590" s="12" t="inlineStr"/>
      <c r="F5590" s="12" t="inlineStr">
        <is>
          <t>PCM: power control module</t>
        </is>
      </c>
      <c r="G5590" s="12" t="inlineStr">
        <is>
          <t>RICE-GSU-C</t>
        </is>
      </c>
      <c r="H5590" s="12" t="inlineStr">
        <is>
          <t>RICE-GSU-C: 13.8 / 34.5 kV group step-up, ~45 MVA (RICE 5-6)</t>
        </is>
      </c>
      <c r="I5590" s="12" t="inlineStr">
        <is>
          <t>MV 15 kV</t>
        </is>
      </c>
      <c r="J5590" s="12" t="inlineStr">
        <is>
          <t>MV-105 15 kV 1/C Cu, EPR 133%, Cu tape shield, PVC jacket (triplexed)</t>
        </is>
      </c>
      <c r="K5590" s="12" t="inlineStr">
        <is>
          <t>MV15|1/C|750</t>
        </is>
      </c>
      <c r="L5590" s="12" t="inlineStr">
        <is>
          <t>1/C</t>
        </is>
      </c>
      <c r="M5590" s="12" t="inlineStr">
        <is>
          <t>750 kcmil</t>
        </is>
      </c>
      <c r="N5590" s="12" t="n">
        <v>4</v>
      </c>
      <c r="O5590" s="12" t="n">
        <v>3</v>
      </c>
      <c r="P5590" s="12" t="n">
        <v>13800</v>
      </c>
      <c r="Q5590" s="12" t="n">
        <v>36800</v>
      </c>
      <c r="R5590" s="12" t="n">
        <v>1711</v>
      </c>
      <c r="S5590" s="12" t="inlineStr">
        <is>
          <t>Duct bank</t>
        </is>
      </c>
      <c r="T5590" s="15" t="n">
        <v>132</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4 sets per phase</t>
        </is>
      </c>
      <c r="AA5590" s="12">
        <f>N5590*O5590</f>
        <v/>
      </c>
    </row>
    <row r="5591">
      <c r="A5591" s="12" t="inlineStr">
        <is>
          <t>I-MV-0050</t>
        </is>
      </c>
      <c r="B5591" s="12" t="inlineStr">
        <is>
          <t>I</t>
        </is>
      </c>
      <c r="C5591" s="12" t="inlineStr">
        <is>
          <t>Modular / portable power</t>
        </is>
      </c>
      <c r="D5591" s="12" t="inlineStr">
        <is>
          <t>PCM section D (RICE 7-8) to RICE-GSU-D</t>
        </is>
      </c>
      <c r="E5591" s="12" t="inlineStr"/>
      <c r="F5591" s="12" t="inlineStr">
        <is>
          <t>PCM: power control module</t>
        </is>
      </c>
      <c r="G5591" s="12" t="inlineStr">
        <is>
          <t>RICE-GSU-D</t>
        </is>
      </c>
      <c r="H5591" s="12" t="inlineStr">
        <is>
          <t>RICE-GSU-D: 13.8 / 34.5 kV group step-up, ~45 MVA (RICE 7-8)</t>
        </is>
      </c>
      <c r="I5591" s="12" t="inlineStr">
        <is>
          <t>MV 15 kV</t>
        </is>
      </c>
      <c r="J5591" s="12" t="inlineStr">
        <is>
          <t>MV-105 15 kV 1/C Cu, EPR 133%, Cu tape shield, PVC jacket (triplexed)</t>
        </is>
      </c>
      <c r="K5591" s="12" t="inlineStr">
        <is>
          <t>MV15|1/C|750</t>
        </is>
      </c>
      <c r="L5591" s="12" t="inlineStr">
        <is>
          <t>1/C</t>
        </is>
      </c>
      <c r="M5591" s="12" t="inlineStr">
        <is>
          <t>750 kcmil</t>
        </is>
      </c>
      <c r="N5591" s="12" t="n">
        <v>4</v>
      </c>
      <c r="O5591" s="12" t="n">
        <v>3</v>
      </c>
      <c r="P5591" s="12" t="n">
        <v>13800</v>
      </c>
      <c r="Q5591" s="12" t="n">
        <v>36800</v>
      </c>
      <c r="R5591" s="12" t="n">
        <v>1711</v>
      </c>
      <c r="S5591" s="12" t="inlineStr">
        <is>
          <t>Duct bank</t>
        </is>
      </c>
      <c r="T5591" s="15" t="n">
        <v>159</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is>
          <t>4 sets per phase</t>
        </is>
      </c>
      <c r="AA5591" s="12">
        <f>N5591*O5591</f>
        <v/>
      </c>
    </row>
    <row r="5592">
      <c r="A5592" s="12" t="inlineStr">
        <is>
          <t>I-MV-0051</t>
        </is>
      </c>
      <c r="B5592" s="12" t="inlineStr">
        <is>
          <t>I</t>
        </is>
      </c>
      <c r="C5592" s="12" t="inlineStr">
        <is>
          <t>Modular / portable power</t>
        </is>
      </c>
      <c r="D5592" s="12" t="inlineStr">
        <is>
          <t>SC-1 (50 MW class) generator leads to its PCM / GCB</t>
        </is>
      </c>
      <c r="E5592" s="12" t="inlineStr">
        <is>
          <t>SC-1</t>
        </is>
      </c>
      <c r="F5592" s="12" t="inlineStr">
        <is>
          <t>SC-1: aeroderivative simple-cycle unit (50 MW class)</t>
        </is>
      </c>
      <c r="G5592" s="12" t="inlineStr"/>
      <c r="H5592" s="12" t="inlineStr">
        <is>
          <t>SC-1 PCM + 15 kV GCB</t>
        </is>
      </c>
      <c r="I5592" s="12" t="inlineStr">
        <is>
          <t>MV 15 kV</t>
        </is>
      </c>
      <c r="J5592" s="12" t="inlineStr">
        <is>
          <t>MV-105 15 kV 1/C Cu, EPR 133%, Cu tape shield, PVC jacket (triplexed)</t>
        </is>
      </c>
      <c r="K5592" s="12" t="inlineStr">
        <is>
          <t>MV15|1/C|1000</t>
        </is>
      </c>
      <c r="L5592" s="12" t="inlineStr">
        <is>
          <t>1/C</t>
        </is>
      </c>
      <c r="M5592" s="12" t="inlineStr">
        <is>
          <t>1000 kcmil</t>
        </is>
      </c>
      <c r="N5592" s="12" t="n">
        <v>5</v>
      </c>
      <c r="O5592" s="12" t="n">
        <v>3</v>
      </c>
      <c r="P5592" s="12" t="n">
        <v>13800</v>
      </c>
      <c r="Q5592" s="12" t="n">
        <v>50000</v>
      </c>
      <c r="R5592" s="12" t="n">
        <v>2324</v>
      </c>
      <c r="S5592" s="12" t="inlineStr">
        <is>
          <t>Tray</t>
        </is>
      </c>
      <c r="T5592" s="15" t="n">
        <v>6</v>
      </c>
      <c r="U5592" s="15" t="n">
        <v>61</v>
      </c>
      <c r="V5592" s="15">
        <f>ROUNDUP((T5592+U5592+2*'Read Me'!$B$13)*(1+'Read Me'!$B$12),-1)</f>
        <v/>
      </c>
      <c r="W5592" s="15">
        <f>V5592*N5592*O5592</f>
        <v/>
      </c>
      <c r="X5592" s="12">
        <f>IF(LEFT(I5592,2)="MV",2*N5592*IF(L5592="1/C",O5592,1),0)</f>
        <v/>
      </c>
      <c r="Y5592" s="12">
        <f>IF(OR(LEFT(K5592,4)="LVAX",LEFT(K5592,6)="MV15AX",LEFT(K5592,4)="CTAX",LEFT(K5592,2)="W|"),2*N5592*O5592,0)</f>
        <v/>
      </c>
      <c r="Z5592" s="12" t="inlineStr">
        <is>
          <t>5 sets per phase</t>
        </is>
      </c>
      <c r="AA5592" s="12">
        <f>N5592*O5592</f>
        <v/>
      </c>
    </row>
    <row r="5593">
      <c r="A5593" s="12" t="inlineStr">
        <is>
          <t>I-MV-0052</t>
        </is>
      </c>
      <c r="B5593" s="12" t="inlineStr">
        <is>
          <t>I</t>
        </is>
      </c>
      <c r="C5593" s="12" t="inlineStr">
        <is>
          <t>Modular / portable power</t>
        </is>
      </c>
      <c r="D5593" s="12" t="inlineStr">
        <is>
          <t>SC-1 generator neutral to the NGR (in the terminal-box enclosure)</t>
        </is>
      </c>
      <c r="E5593" s="12" t="inlineStr">
        <is>
          <t>SC-1</t>
        </is>
      </c>
      <c r="F5593" s="12" t="inlineStr">
        <is>
          <t>SC-1: aeroderivative simple-cycle unit (50 MW class)</t>
        </is>
      </c>
      <c r="G5593" s="12" t="inlineStr"/>
      <c r="H5593" s="12" t="inlineStr">
        <is>
          <t>SC-1 PCM + 15 kV GCB</t>
        </is>
      </c>
      <c r="I5593" s="12" t="inlineStr">
        <is>
          <t>MV 15 kV</t>
        </is>
      </c>
      <c r="J5593" s="12" t="inlineStr">
        <is>
          <t>MV-105 15 kV 1/C Cu, EPR 133%, Cu tape shield, PVC jacket (triplexed)</t>
        </is>
      </c>
      <c r="K5593" s="12" t="inlineStr">
        <is>
          <t>MV15|1/C|2</t>
        </is>
      </c>
      <c r="L5593" s="12" t="inlineStr">
        <is>
          <t>1/C</t>
        </is>
      </c>
      <c r="M5593" s="12" t="inlineStr">
        <is>
          <t>2</t>
        </is>
      </c>
      <c r="N5593" s="12" t="n">
        <v>1</v>
      </c>
      <c r="O5593" s="12" t="n">
        <v>1</v>
      </c>
      <c r="P5593" s="12" t="n">
        <v>13800</v>
      </c>
      <c r="Q5593" s="12" t="n"/>
      <c r="R5593" s="12" t="n"/>
      <c r="S5593" s="12" t="inlineStr">
        <is>
          <t>Conduit</t>
        </is>
      </c>
      <c r="T5593" s="15" t="n">
        <v>15</v>
      </c>
      <c r="U5593" s="15" t="n">
        <v>10</v>
      </c>
      <c r="V5593" s="15">
        <f>ROUNDUP((T5593+U5593+2*'Read Me'!$B$13)*(1+'Read Me'!$B$12),-1)</f>
        <v/>
      </c>
      <c r="W5593" s="15">
        <f>V5593*N5593*O5593</f>
        <v/>
      </c>
      <c r="X5593" s="12">
        <f>IF(LEFT(I5593,2)="MV",2*N5593*IF(L5593="1/C",O5593,1),0)</f>
        <v/>
      </c>
      <c r="Y5593" s="12">
        <f>IF(OR(LEFT(K5593,4)="LVAX",LEFT(K5593,6)="MV15AX",LEFT(K5593,4)="CTAX",LEFT(K5593,2)="W|"),2*N5593*O5593,0)</f>
        <v/>
      </c>
      <c r="Z5593" s="12" t="inlineStr">
        <is>
          <t>neutral grounding resistor beside the generator enclosure</t>
        </is>
      </c>
      <c r="AA5593" s="12">
        <f>N5593*O5593</f>
        <v/>
      </c>
    </row>
    <row r="5594">
      <c r="A5594" s="12" t="inlineStr">
        <is>
          <t>I-MV-0053</t>
        </is>
      </c>
      <c r="B5594" s="12" t="inlineStr">
        <is>
          <t>I</t>
        </is>
      </c>
      <c r="C5594" s="12" t="inlineStr">
        <is>
          <t>Modular / portable power</t>
        </is>
      </c>
      <c r="D5594" s="12" t="inlineStr">
        <is>
          <t>SC-1 PCM auxiliary transformer primary, 2 MVA 13.8 kV / 480 V (from the GCB bus)</t>
        </is>
      </c>
      <c r="E5594" s="12" t="inlineStr"/>
      <c r="F5594" s="12" t="inlineStr">
        <is>
          <t>SC-1 PCM + 15 kV GCB</t>
        </is>
      </c>
      <c r="G5594" s="12" t="inlineStr"/>
      <c r="H5594" s="12" t="inlineStr">
        <is>
          <t>SC-1 PCM + 15 kV GCB</t>
        </is>
      </c>
      <c r="I5594" s="12" t="inlineStr">
        <is>
          <t>MV 15 kV</t>
        </is>
      </c>
      <c r="J5594" s="12" t="inlineStr">
        <is>
          <t>MV-105 15 kV 1/C Cu, EPR 133%, Cu tape shield, PVC jacket (triplexed)</t>
        </is>
      </c>
      <c r="K5594" s="12" t="inlineStr">
        <is>
          <t>MV15|1/C|2</t>
        </is>
      </c>
      <c r="L5594" s="12" t="inlineStr">
        <is>
          <t>1/C</t>
        </is>
      </c>
      <c r="M5594" s="12" t="inlineStr">
        <is>
          <t>2</t>
        </is>
      </c>
      <c r="N5594" s="12" t="n">
        <v>1</v>
      </c>
      <c r="O5594" s="12" t="n">
        <v>3</v>
      </c>
      <c r="P5594" s="12" t="n">
        <v>13800</v>
      </c>
      <c r="Q5594" s="12" t="n">
        <v>2000</v>
      </c>
      <c r="R5594" s="12" t="n">
        <v>84</v>
      </c>
      <c r="S5594" s="12" t="inlineStr">
        <is>
          <t>Tray</t>
        </is>
      </c>
      <c r="T5594" s="15" t="n">
        <v>0</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internal to the PCM; ~1.0-1.1 MW connected 480 V load + 0.5 MW conditional inlet chiller</t>
        </is>
      </c>
      <c r="AA5594" s="12">
        <f>N5594*O5594</f>
        <v/>
      </c>
    </row>
    <row r="5595">
      <c r="A5595" s="12" t="inlineStr">
        <is>
          <t>I-MV-0054</t>
        </is>
      </c>
      <c r="B5595" s="12" t="inlineStr">
        <is>
          <t>I</t>
        </is>
      </c>
      <c r="C5595" s="12" t="inlineStr">
        <is>
          <t>Modular / portable power</t>
        </is>
      </c>
      <c r="D5595" s="12" t="inlineStr">
        <is>
          <t>SC-2 (50 MW class) generator leads to its PCM / GCB</t>
        </is>
      </c>
      <c r="E5595" s="12" t="inlineStr">
        <is>
          <t>SC-2</t>
        </is>
      </c>
      <c r="F5595" s="12" t="inlineStr">
        <is>
          <t>SC-2: aeroderivative simple-cycle unit (50 MW class)</t>
        </is>
      </c>
      <c r="G5595" s="12" t="inlineStr"/>
      <c r="H5595" s="12" t="inlineStr">
        <is>
          <t>SC-2 PCM + 15 kV GCB</t>
        </is>
      </c>
      <c r="I5595" s="12" t="inlineStr">
        <is>
          <t>MV 15 kV</t>
        </is>
      </c>
      <c r="J5595" s="12" t="inlineStr">
        <is>
          <t>MV-105 15 kV 1/C Cu, EPR 133%, Cu tape shield, PVC jacket (triplexed)</t>
        </is>
      </c>
      <c r="K5595" s="12" t="inlineStr">
        <is>
          <t>MV15|1/C|1000</t>
        </is>
      </c>
      <c r="L5595" s="12" t="inlineStr">
        <is>
          <t>1/C</t>
        </is>
      </c>
      <c r="M5595" s="12" t="inlineStr">
        <is>
          <t>1000 kcmil</t>
        </is>
      </c>
      <c r="N5595" s="12" t="n">
        <v>5</v>
      </c>
      <c r="O5595" s="12" t="n">
        <v>3</v>
      </c>
      <c r="P5595" s="12" t="n">
        <v>13800</v>
      </c>
      <c r="Q5595" s="12" t="n">
        <v>50000</v>
      </c>
      <c r="R5595" s="12" t="n">
        <v>2324</v>
      </c>
      <c r="S5595" s="12" t="inlineStr">
        <is>
          <t>Duct bank</t>
        </is>
      </c>
      <c r="T5595" s="15" t="n">
        <v>35</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5 sets per phase</t>
        </is>
      </c>
      <c r="AA5595" s="12">
        <f>N5595*O5595</f>
        <v/>
      </c>
    </row>
    <row r="5596">
      <c r="A5596" s="12" t="inlineStr">
        <is>
          <t>I-MV-0055</t>
        </is>
      </c>
      <c r="B5596" s="12" t="inlineStr">
        <is>
          <t>I</t>
        </is>
      </c>
      <c r="C5596" s="12" t="inlineStr">
        <is>
          <t>Modular / portable power</t>
        </is>
      </c>
      <c r="D5596" s="12" t="inlineStr">
        <is>
          <t>SC-2 generator neutral to the NGR (in the terminal-box enclosure)</t>
        </is>
      </c>
      <c r="E5596" s="12" t="inlineStr">
        <is>
          <t>SC-2</t>
        </is>
      </c>
      <c r="F5596" s="12" t="inlineStr">
        <is>
          <t>SC-2: aeroderivative simple-cycle unit (50 MW class)</t>
        </is>
      </c>
      <c r="G5596" s="12" t="inlineStr"/>
      <c r="H5596" s="12" t="inlineStr">
        <is>
          <t>SC-2 PCM + 15 kV GCB</t>
        </is>
      </c>
      <c r="I5596" s="12" t="inlineStr">
        <is>
          <t>MV 15 kV</t>
        </is>
      </c>
      <c r="J5596" s="12" t="inlineStr">
        <is>
          <t>MV-105 15 kV 1/C Cu, EPR 133%, Cu tape shield, PVC jacket (triplexed)</t>
        </is>
      </c>
      <c r="K5596" s="12" t="inlineStr">
        <is>
          <t>MV15|1/C|2</t>
        </is>
      </c>
      <c r="L5596" s="12" t="inlineStr">
        <is>
          <t>1/C</t>
        </is>
      </c>
      <c r="M5596" s="12" t="inlineStr">
        <is>
          <t>2</t>
        </is>
      </c>
      <c r="N5596" s="12" t="n">
        <v>1</v>
      </c>
      <c r="O5596" s="12" t="n">
        <v>1</v>
      </c>
      <c r="P5596" s="12" t="n">
        <v>13800</v>
      </c>
      <c r="Q5596" s="12" t="n"/>
      <c r="R5596" s="12" t="n"/>
      <c r="S5596" s="12" t="inlineStr">
        <is>
          <t>Conduit</t>
        </is>
      </c>
      <c r="T5596" s="15" t="n">
        <v>15</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neutral grounding resistor beside the generator enclosure</t>
        </is>
      </c>
      <c r="AA5596" s="12">
        <f>N5596*O5596</f>
        <v/>
      </c>
    </row>
    <row r="5597">
      <c r="A5597" s="12" t="inlineStr">
        <is>
          <t>I-MV-0056</t>
        </is>
      </c>
      <c r="B5597" s="12" t="inlineStr">
        <is>
          <t>I</t>
        </is>
      </c>
      <c r="C5597" s="12" t="inlineStr">
        <is>
          <t>Modular / portable power</t>
        </is>
      </c>
      <c r="D5597" s="12" t="inlineStr">
        <is>
          <t>SC-2 PCM auxiliary transformer primary, 2 MVA 13.8 kV / 480 V (from the GCB bus)</t>
        </is>
      </c>
      <c r="E5597" s="12" t="inlineStr"/>
      <c r="F5597" s="12" t="inlineStr">
        <is>
          <t>SC-2 PCM + 15 kV GCB</t>
        </is>
      </c>
      <c r="G5597" s="12" t="inlineStr"/>
      <c r="H5597" s="12" t="inlineStr">
        <is>
          <t>SC-2 PCM + 15 kV GCB</t>
        </is>
      </c>
      <c r="I5597" s="12" t="inlineStr">
        <is>
          <t>MV 15 kV</t>
        </is>
      </c>
      <c r="J5597" s="12" t="inlineStr">
        <is>
          <t>MV-105 15 kV 1/C Cu, EPR 133%, Cu tape shield, PVC jacket (triplexed)</t>
        </is>
      </c>
      <c r="K5597" s="12" t="inlineStr">
        <is>
          <t>MV15|1/C|2</t>
        </is>
      </c>
      <c r="L5597" s="12" t="inlineStr">
        <is>
          <t>1/C</t>
        </is>
      </c>
      <c r="M5597" s="12" t="inlineStr">
        <is>
          <t>2</t>
        </is>
      </c>
      <c r="N5597" s="12" t="n">
        <v>1</v>
      </c>
      <c r="O5597" s="12" t="n">
        <v>3</v>
      </c>
      <c r="P5597" s="12" t="n">
        <v>13800</v>
      </c>
      <c r="Q5597" s="12" t="n">
        <v>2000</v>
      </c>
      <c r="R5597" s="12" t="n">
        <v>84</v>
      </c>
      <c r="S5597" s="12" t="inlineStr">
        <is>
          <t>Tray</t>
        </is>
      </c>
      <c r="T5597" s="15" t="n">
        <v>0</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internal to the PCM; ~1.0-1.1 MW connected 480 V load + 0.5 MW conditional inlet chiller</t>
        </is>
      </c>
      <c r="AA5597" s="12">
        <f>N5597*O5597</f>
        <v/>
      </c>
    </row>
    <row r="5598">
      <c r="A5598" s="12" t="inlineStr">
        <is>
          <t>I-MV-0057</t>
        </is>
      </c>
      <c r="B5598" s="12" t="inlineStr">
        <is>
          <t>I</t>
        </is>
      </c>
      <c r="C5598" s="12" t="inlineStr">
        <is>
          <t>Modular / portable power</t>
        </is>
      </c>
      <c r="D5598" s="12" t="inlineStr">
        <is>
          <t>SC-1 PCM (GCB) to SC-GSU-1</t>
        </is>
      </c>
      <c r="E5598" s="12" t="inlineStr"/>
      <c r="F5598" s="12" t="inlineStr">
        <is>
          <t>SC-1 PCM + 15 kV GCB</t>
        </is>
      </c>
      <c r="G5598" s="12" t="inlineStr">
        <is>
          <t>SC-GSU-1</t>
        </is>
      </c>
      <c r="H5598" s="12" t="inlineStr">
        <is>
          <t>SC-GSU-1: 13.8 / 34.5 kV unit step-up, ~60 MVA (SC-1)</t>
        </is>
      </c>
      <c r="I5598" s="12" t="inlineStr">
        <is>
          <t>MV 15 kV</t>
        </is>
      </c>
      <c r="J5598" s="12" t="inlineStr">
        <is>
          <t>MV-105 15 kV 1/C Cu, EPR 133%, Cu tape shield, PVC jacket (triplexed)</t>
        </is>
      </c>
      <c r="K5598" s="12" t="inlineStr">
        <is>
          <t>MV15|1/C|1000</t>
        </is>
      </c>
      <c r="L5598" s="12" t="inlineStr">
        <is>
          <t>1/C</t>
        </is>
      </c>
      <c r="M5598" s="12" t="inlineStr">
        <is>
          <t>1000 kcmil</t>
        </is>
      </c>
      <c r="N5598" s="12" t="n">
        <v>5</v>
      </c>
      <c r="O5598" s="12" t="n">
        <v>3</v>
      </c>
      <c r="P5598" s="12" t="n">
        <v>13800</v>
      </c>
      <c r="Q5598" s="12" t="n">
        <v>50000</v>
      </c>
      <c r="R5598" s="12" t="n">
        <v>2324</v>
      </c>
      <c r="S5598" s="12" t="inlineStr">
        <is>
          <t>Duct bank</t>
        </is>
      </c>
      <c r="T5598" s="15" t="n">
        <v>55</v>
      </c>
      <c r="U5598" s="15" t="n">
        <v>32</v>
      </c>
      <c r="V5598" s="15">
        <f>ROUNDUP((T5598+U5598+2*'Read Me'!$B$13)*(1+'Read Me'!$B$12),-1)</f>
        <v/>
      </c>
      <c r="W5598" s="15">
        <f>V5598*N5598*O5598</f>
        <v/>
      </c>
      <c r="X5598" s="12">
        <f>IF(LEFT(I5598,2)="MV",2*N5598*IF(L5598="1/C",O5598,1),0)</f>
        <v/>
      </c>
      <c r="Y5598" s="12">
        <f>IF(OR(LEFT(K5598,4)="LVAX",LEFT(K5598,6)="MV15AX",LEFT(K5598,4)="CTAX",LEFT(K5598,2)="W|"),2*N5598*O5598,0)</f>
        <v/>
      </c>
      <c r="Z5598" s="12" t="inlineStr">
        <is>
          <t>5 sets per phase</t>
        </is>
      </c>
      <c r="AA5598" s="12">
        <f>N5598*O5598</f>
        <v/>
      </c>
    </row>
    <row r="5599">
      <c r="A5599" s="12" t="inlineStr">
        <is>
          <t>I-MV-0058</t>
        </is>
      </c>
      <c r="B5599" s="12" t="inlineStr">
        <is>
          <t>I</t>
        </is>
      </c>
      <c r="C5599" s="12" t="inlineStr">
        <is>
          <t>Modular / portable power</t>
        </is>
      </c>
      <c r="D5599" s="12" t="inlineStr">
        <is>
          <t>SC-2 PCM (GCB) to SC-GSU-2</t>
        </is>
      </c>
      <c r="E5599" s="12" t="inlineStr"/>
      <c r="F5599" s="12" t="inlineStr">
        <is>
          <t>SC-2 PCM + 15 kV GCB</t>
        </is>
      </c>
      <c r="G5599" s="12" t="inlineStr">
        <is>
          <t>SC-GSU-2</t>
        </is>
      </c>
      <c r="H5599" s="12" t="inlineStr">
        <is>
          <t>SC-GSU-2: 13.8 / 34.5 kV unit step-up, ~60 MVA (SC-2)</t>
        </is>
      </c>
      <c r="I5599" s="12" t="inlineStr">
        <is>
          <t>MV 15 kV</t>
        </is>
      </c>
      <c r="J5599" s="12" t="inlineStr">
        <is>
          <t>MV-105 15 kV 1/C Cu, EPR 133%, Cu tape shield, PVC jacket (triplexed)</t>
        </is>
      </c>
      <c r="K5599" s="12" t="inlineStr">
        <is>
          <t>MV15|1/C|1000</t>
        </is>
      </c>
      <c r="L5599" s="12" t="inlineStr">
        <is>
          <t>1/C</t>
        </is>
      </c>
      <c r="M5599" s="12" t="inlineStr">
        <is>
          <t>1000 kcmil</t>
        </is>
      </c>
      <c r="N5599" s="12" t="n">
        <v>5</v>
      </c>
      <c r="O5599" s="12" t="n">
        <v>3</v>
      </c>
      <c r="P5599" s="12" t="n">
        <v>13800</v>
      </c>
      <c r="Q5599" s="12" t="n">
        <v>50000</v>
      </c>
      <c r="R5599" s="12" t="n">
        <v>2324</v>
      </c>
      <c r="S5599" s="12" t="inlineStr">
        <is>
          <t>Duct bank</t>
        </is>
      </c>
      <c r="T5599" s="15" t="n">
        <v>48</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5 sets per phase</t>
        </is>
      </c>
      <c r="AA5599" s="12">
        <f>N5599*O5599</f>
        <v/>
      </c>
    </row>
    <row r="5600">
      <c r="A5600" s="12" t="inlineStr">
        <is>
          <t>I-MV-0059</t>
        </is>
      </c>
      <c r="B5600" s="12" t="inlineStr">
        <is>
          <t>I</t>
        </is>
      </c>
      <c r="C5600" s="12" t="inlineStr">
        <is>
          <t>Modular / portable power</t>
        </is>
      </c>
      <c r="D5600" s="12" t="inlineStr">
        <is>
          <t>TGF-1 generator neutral to its high-resistance grounding resistor (in the package)</t>
        </is>
      </c>
      <c r="E5600" s="12" t="inlineStr">
        <is>
          <t>TGF-1</t>
        </is>
      </c>
      <c r="F5600" s="12" t="inlineStr">
        <is>
          <t xml:space="preserve">TGF-1: trailer-mounted gas-engine generator ~2.5 MW, 13.8 kV (trailer </t>
        </is>
      </c>
      <c r="G5600" s="12" t="inlineStr">
        <is>
          <t>TGF-1</t>
        </is>
      </c>
      <c r="H5600" s="12" t="inlineStr">
        <is>
          <t xml:space="preserve">TGF-1: trailer-mounted gas-engine generator ~2.5 MW, 13.8 kV (trailer </t>
        </is>
      </c>
      <c r="I5600" s="12" t="inlineStr">
        <is>
          <t>MV 15 kV</t>
        </is>
      </c>
      <c r="J5600" s="12" t="inlineStr">
        <is>
          <t>MV-105 15 kV 1/C Cu, EPR 133%, Cu tape shield, PVC jacket (triplexed)</t>
        </is>
      </c>
      <c r="K5600" s="12" t="inlineStr">
        <is>
          <t>MV15|1/C|2</t>
        </is>
      </c>
      <c r="L5600" s="12" t="inlineStr">
        <is>
          <t>1/C</t>
        </is>
      </c>
      <c r="M5600" s="12" t="inlineStr">
        <is>
          <t>2</t>
        </is>
      </c>
      <c r="N5600" s="12" t="n">
        <v>1</v>
      </c>
      <c r="O5600" s="12" t="n">
        <v>1</v>
      </c>
      <c r="P5600" s="12" t="n">
        <v>13800</v>
      </c>
      <c r="Q5600" s="12" t="n"/>
      <c r="R5600" s="12" t="n"/>
      <c r="S5600" s="12" t="inlineStr">
        <is>
          <t>Conduit</t>
        </is>
      </c>
      <c r="T5600" s="15" t="n">
        <v>15</v>
      </c>
      <c r="U5600" s="15" t="n">
        <v>5</v>
      </c>
      <c r="V5600" s="15">
        <f>ROUNDUP((T5600+U5600+2*'Read Me'!$B$13)*(1+'Read Me'!$B$12),-1)</f>
        <v/>
      </c>
      <c r="W5600" s="15">
        <f>V5600*N5600*O5600</f>
        <v/>
      </c>
      <c r="X5600" s="12">
        <f>IF(LEFT(I5600,2)="MV",2*N5600*IF(L5600="1/C",O5600,1),0)</f>
        <v/>
      </c>
      <c r="Y5600" s="12">
        <f>IF(OR(LEFT(K5600,4)="LVAX",LEFT(K5600,6)="MV15AX",LEFT(K5600,4)="CTAX",LEFT(K5600,2)="W|"),2*N5600*O5600,0)</f>
        <v/>
      </c>
      <c r="Z5600" s="12" t="inlineStr">
        <is>
          <t>NGR in the generator / terminal-box enclosure</t>
        </is>
      </c>
      <c r="AA5600" s="12">
        <f>N5600*O5600</f>
        <v/>
      </c>
    </row>
    <row r="5601">
      <c r="A5601" s="12" t="inlineStr">
        <is>
          <t>I-MV-0060</t>
        </is>
      </c>
      <c r="B5601" s="12" t="inlineStr">
        <is>
          <t>I</t>
        </is>
      </c>
      <c r="C5601" s="12" t="inlineStr">
        <is>
          <t>Modular / portable power</t>
        </is>
      </c>
      <c r="D5601" s="12" t="inlineStr">
        <is>
          <t>TGF-2 generator neutral to its high-resistance grounding resistor (in the package)</t>
        </is>
      </c>
      <c r="E5601" s="12" t="inlineStr">
        <is>
          <t>TGF-2</t>
        </is>
      </c>
      <c r="F5601" s="12" t="inlineStr">
        <is>
          <t xml:space="preserve">TGF-2: trailer-mounted gas-engine generator ~2.5 MW, 13.8 kV (trailer </t>
        </is>
      </c>
      <c r="G5601" s="12" t="inlineStr">
        <is>
          <t>TGF-2</t>
        </is>
      </c>
      <c r="H5601" s="12" t="inlineStr">
        <is>
          <t xml:space="preserve">TGF-2: trailer-mounted gas-engine generator ~2.5 MW, 13.8 kV (trailer </t>
        </is>
      </c>
      <c r="I5601" s="12" t="inlineStr">
        <is>
          <t>MV 15 kV</t>
        </is>
      </c>
      <c r="J5601" s="12" t="inlineStr">
        <is>
          <t>MV-105 15 kV 1/C Cu, EPR 133%, Cu tape shield, PVC jacket (triplexed)</t>
        </is>
      </c>
      <c r="K5601" s="12" t="inlineStr">
        <is>
          <t>MV15|1/C|2</t>
        </is>
      </c>
      <c r="L5601" s="12" t="inlineStr">
        <is>
          <t>1/C</t>
        </is>
      </c>
      <c r="M5601" s="12" t="inlineStr">
        <is>
          <t>2</t>
        </is>
      </c>
      <c r="N5601" s="12" t="n">
        <v>1</v>
      </c>
      <c r="O5601" s="12" t="n">
        <v>1</v>
      </c>
      <c r="P5601" s="12" t="n">
        <v>13800</v>
      </c>
      <c r="Q5601" s="12" t="n"/>
      <c r="R5601" s="12" t="n"/>
      <c r="S5601" s="12" t="inlineStr">
        <is>
          <t>Conduit</t>
        </is>
      </c>
      <c r="T5601" s="15" t="n">
        <v>15</v>
      </c>
      <c r="U5601" s="15" t="n">
        <v>5</v>
      </c>
      <c r="V5601" s="15">
        <f>ROUNDUP((T5601+U5601+2*'Read Me'!$B$13)*(1+'Read Me'!$B$12),-1)</f>
        <v/>
      </c>
      <c r="W5601" s="15">
        <f>V5601*N5601*O5601</f>
        <v/>
      </c>
      <c r="X5601" s="12">
        <f>IF(LEFT(I5601,2)="MV",2*N5601*IF(L5601="1/C",O5601,1),0)</f>
        <v/>
      </c>
      <c r="Y5601" s="12">
        <f>IF(OR(LEFT(K5601,4)="LVAX",LEFT(K5601,6)="MV15AX",LEFT(K5601,4)="CTAX",LEFT(K5601,2)="W|"),2*N5601*O5601,0)</f>
        <v/>
      </c>
      <c r="Z5601" s="12" t="inlineStr">
        <is>
          <t>NGR in the generator / terminal-box enclosure</t>
        </is>
      </c>
      <c r="AA5601" s="12">
        <f>N5601*O5601</f>
        <v/>
      </c>
    </row>
    <row r="5602">
      <c r="A5602" s="12" t="inlineStr">
        <is>
          <t>I-MV-0061</t>
        </is>
      </c>
      <c r="B5602" s="12" t="inlineStr">
        <is>
          <t>I</t>
        </is>
      </c>
      <c r="C5602" s="12" t="inlineStr">
        <is>
          <t>Modular / portable power</t>
        </is>
      </c>
      <c r="D5602" s="12" t="inlineStr">
        <is>
          <t>TGF-3 generator neutral to its high-resistance grounding resistor (in the package)</t>
        </is>
      </c>
      <c r="E5602" s="12" t="inlineStr">
        <is>
          <t>TGF-3</t>
        </is>
      </c>
      <c r="F5602" s="12" t="inlineStr">
        <is>
          <t xml:space="preserve">TGF-3: trailer-mounted gas-engine generator ~2.5 MW, 13.8 kV (trailer </t>
        </is>
      </c>
      <c r="G5602" s="12" t="inlineStr">
        <is>
          <t>TGF-3</t>
        </is>
      </c>
      <c r="H5602" s="12" t="inlineStr">
        <is>
          <t xml:space="preserve">TGF-3: trailer-mounted gas-engine generator ~2.5 MW, 13.8 kV (trailer </t>
        </is>
      </c>
      <c r="I5602" s="12" t="inlineStr">
        <is>
          <t>MV 15 kV</t>
        </is>
      </c>
      <c r="J5602" s="12" t="inlineStr">
        <is>
          <t>MV-105 15 kV 1/C Cu, EPR 133%, Cu tape shield, PVC jacket (triplexed)</t>
        </is>
      </c>
      <c r="K5602" s="12" t="inlineStr">
        <is>
          <t>MV15|1/C|2</t>
        </is>
      </c>
      <c r="L5602" s="12" t="inlineStr">
        <is>
          <t>1/C</t>
        </is>
      </c>
      <c r="M5602" s="12" t="inlineStr">
        <is>
          <t>2</t>
        </is>
      </c>
      <c r="N5602" s="12" t="n">
        <v>1</v>
      </c>
      <c r="O5602" s="12" t="n">
        <v>1</v>
      </c>
      <c r="P5602" s="12" t="n">
        <v>13800</v>
      </c>
      <c r="Q5602" s="12" t="n"/>
      <c r="R5602" s="12" t="n"/>
      <c r="S5602" s="12" t="inlineStr">
        <is>
          <t>Conduit</t>
        </is>
      </c>
      <c r="T5602" s="15" t="n">
        <v>15</v>
      </c>
      <c r="U5602" s="15" t="n">
        <v>5</v>
      </c>
      <c r="V5602" s="15">
        <f>ROUNDUP((T5602+U5602+2*'Read Me'!$B$13)*(1+'Read Me'!$B$12),-1)</f>
        <v/>
      </c>
      <c r="W5602" s="15">
        <f>V5602*N5602*O5602</f>
        <v/>
      </c>
      <c r="X5602" s="12">
        <f>IF(LEFT(I5602,2)="MV",2*N5602*IF(L5602="1/C",O5602,1),0)</f>
        <v/>
      </c>
      <c r="Y5602" s="12">
        <f>IF(OR(LEFT(K5602,4)="LVAX",LEFT(K5602,6)="MV15AX",LEFT(K5602,4)="CTAX",LEFT(K5602,2)="W|"),2*N5602*O5602,0)</f>
        <v/>
      </c>
      <c r="Z5602" s="12" t="inlineStr">
        <is>
          <t>NGR in the generator / terminal-box enclosure</t>
        </is>
      </c>
      <c r="AA5602" s="12">
        <f>N5602*O5602</f>
        <v/>
      </c>
    </row>
    <row r="5603">
      <c r="A5603" s="12" t="inlineStr">
        <is>
          <t>I-MV-0062</t>
        </is>
      </c>
      <c r="B5603" s="12" t="inlineStr">
        <is>
          <t>I</t>
        </is>
      </c>
      <c r="C5603" s="12" t="inlineStr">
        <is>
          <t>Modular / portable power</t>
        </is>
      </c>
      <c r="D5603" s="12" t="inlineStr">
        <is>
          <t>TGF-4 generator neutral to its high-resistance grounding resistor (in the package)</t>
        </is>
      </c>
      <c r="E5603" s="12" t="inlineStr">
        <is>
          <t>TGF-4</t>
        </is>
      </c>
      <c r="F5603" s="12" t="inlineStr">
        <is>
          <t xml:space="preserve">TGF-4: trailer-mounted gas-engine generator ~2.5 MW, 13.8 kV (trailer </t>
        </is>
      </c>
      <c r="G5603" s="12" t="inlineStr">
        <is>
          <t>TGF-4</t>
        </is>
      </c>
      <c r="H5603" s="12" t="inlineStr">
        <is>
          <t xml:space="preserve">TGF-4: trailer-mounted gas-engine generator ~2.5 MW, 13.8 kV (trailer </t>
        </is>
      </c>
      <c r="I5603" s="12" t="inlineStr">
        <is>
          <t>MV 15 kV</t>
        </is>
      </c>
      <c r="J5603" s="12" t="inlineStr">
        <is>
          <t>MV-105 15 kV 1/C Cu, EPR 133%, Cu tape shield, PVC jacket (triplexed)</t>
        </is>
      </c>
      <c r="K5603" s="12" t="inlineStr">
        <is>
          <t>MV15|1/C|2</t>
        </is>
      </c>
      <c r="L5603" s="12" t="inlineStr">
        <is>
          <t>1/C</t>
        </is>
      </c>
      <c r="M5603" s="12" t="inlineStr">
        <is>
          <t>2</t>
        </is>
      </c>
      <c r="N5603" s="12" t="n">
        <v>1</v>
      </c>
      <c r="O5603" s="12" t="n">
        <v>1</v>
      </c>
      <c r="P5603" s="12" t="n">
        <v>13800</v>
      </c>
      <c r="Q5603" s="12" t="n"/>
      <c r="R5603" s="12" t="n"/>
      <c r="S5603" s="12" t="inlineStr">
        <is>
          <t>Conduit</t>
        </is>
      </c>
      <c r="T5603" s="15" t="n">
        <v>15</v>
      </c>
      <c r="U5603" s="15" t="n">
        <v>5</v>
      </c>
      <c r="V5603" s="15">
        <f>ROUNDUP((T5603+U5603+2*'Read Me'!$B$13)*(1+'Read Me'!$B$12),-1)</f>
        <v/>
      </c>
      <c r="W5603" s="15">
        <f>V5603*N5603*O5603</f>
        <v/>
      </c>
      <c r="X5603" s="12">
        <f>IF(LEFT(I5603,2)="MV",2*N5603*IF(L5603="1/C",O5603,1),0)</f>
        <v/>
      </c>
      <c r="Y5603" s="12">
        <f>IF(OR(LEFT(K5603,4)="LVAX",LEFT(K5603,6)="MV15AX",LEFT(K5603,4)="CTAX",LEFT(K5603,2)="W|"),2*N5603*O5603,0)</f>
        <v/>
      </c>
      <c r="Z5603" s="12" t="inlineStr">
        <is>
          <t>NGR in the generator / terminal-box enclosure</t>
        </is>
      </c>
      <c r="AA5603" s="12">
        <f>N5603*O5603</f>
        <v/>
      </c>
    </row>
    <row r="5604">
      <c r="A5604" s="12" t="inlineStr">
        <is>
          <t>I-MV-0063</t>
        </is>
      </c>
      <c r="B5604" s="12" t="inlineStr">
        <is>
          <t>I</t>
        </is>
      </c>
      <c r="C5604" s="12" t="inlineStr">
        <is>
          <t>Modular / portable power</t>
        </is>
      </c>
      <c r="D5604" s="12" t="inlineStr">
        <is>
          <t>TGF-5 generator neutral to its high-resistance grounding resistor (in the package)</t>
        </is>
      </c>
      <c r="E5604" s="12" t="inlineStr">
        <is>
          <t>TGF-5</t>
        </is>
      </c>
      <c r="F5604" s="12" t="inlineStr">
        <is>
          <t xml:space="preserve">TGF-5: trailer-mounted gas-engine generator ~2.5 MW, 13.8 kV (trailer </t>
        </is>
      </c>
      <c r="G5604" s="12" t="inlineStr">
        <is>
          <t>TGF-5</t>
        </is>
      </c>
      <c r="H5604" s="12" t="inlineStr">
        <is>
          <t xml:space="preserve">TGF-5: trailer-mounted gas-engine generator ~2.5 MW, 13.8 kV (trailer </t>
        </is>
      </c>
      <c r="I5604" s="12" t="inlineStr">
        <is>
          <t>MV 15 kV</t>
        </is>
      </c>
      <c r="J5604" s="12" t="inlineStr">
        <is>
          <t>MV-105 15 kV 1/C Cu, EPR 133%, Cu tape shield, PVC jacket (triplexed)</t>
        </is>
      </c>
      <c r="K5604" s="12" t="inlineStr">
        <is>
          <t>MV15|1/C|2</t>
        </is>
      </c>
      <c r="L5604" s="12" t="inlineStr">
        <is>
          <t>1/C</t>
        </is>
      </c>
      <c r="M5604" s="12" t="inlineStr">
        <is>
          <t>2</t>
        </is>
      </c>
      <c r="N5604" s="12" t="n">
        <v>1</v>
      </c>
      <c r="O5604" s="12" t="n">
        <v>1</v>
      </c>
      <c r="P5604" s="12" t="n">
        <v>13800</v>
      </c>
      <c r="Q5604" s="12" t="n"/>
      <c r="R5604" s="12" t="n"/>
      <c r="S5604" s="12" t="inlineStr">
        <is>
          <t>Conduit</t>
        </is>
      </c>
      <c r="T5604" s="15" t="n">
        <v>15</v>
      </c>
      <c r="U5604" s="15" t="n">
        <v>5</v>
      </c>
      <c r="V5604" s="15">
        <f>ROUNDUP((T5604+U5604+2*'Read Me'!$B$13)*(1+'Read Me'!$B$12),-1)</f>
        <v/>
      </c>
      <c r="W5604" s="15">
        <f>V5604*N5604*O5604</f>
        <v/>
      </c>
      <c r="X5604" s="12">
        <f>IF(LEFT(I5604,2)="MV",2*N5604*IF(L5604="1/C",O5604,1),0)</f>
        <v/>
      </c>
      <c r="Y5604" s="12">
        <f>IF(OR(LEFT(K5604,4)="LVAX",LEFT(K5604,6)="MV15AX",LEFT(K5604,4)="CTAX",LEFT(K5604,2)="W|"),2*N5604*O5604,0)</f>
        <v/>
      </c>
      <c r="Z5604" s="12" t="inlineStr">
        <is>
          <t>NGR in the generator / terminal-box enclosure</t>
        </is>
      </c>
      <c r="AA5604" s="12">
        <f>N5604*O5604</f>
        <v/>
      </c>
    </row>
    <row r="5605">
      <c r="A5605" s="12" t="inlineStr">
        <is>
          <t>I-MV-0064</t>
        </is>
      </c>
      <c r="B5605" s="12" t="inlineStr">
        <is>
          <t>I</t>
        </is>
      </c>
      <c r="C5605" s="12" t="inlineStr">
        <is>
          <t>Modular / portable power</t>
        </is>
      </c>
      <c r="D5605" s="12" t="inlineStr">
        <is>
          <t>TGF-6 generator neutral to its high-resistance grounding resistor (in the package)</t>
        </is>
      </c>
      <c r="E5605" s="12" t="inlineStr">
        <is>
          <t>TGF-6</t>
        </is>
      </c>
      <c r="F5605" s="12" t="inlineStr">
        <is>
          <t xml:space="preserve">TGF-6: trailer-mounted gas-engine generator ~2.5 MW, 13.8 kV (trailer </t>
        </is>
      </c>
      <c r="G5605" s="12" t="inlineStr">
        <is>
          <t>TGF-6</t>
        </is>
      </c>
      <c r="H5605" s="12" t="inlineStr">
        <is>
          <t xml:space="preserve">TGF-6: trailer-mounted gas-engine generator ~2.5 MW, 13.8 kV (trailer </t>
        </is>
      </c>
      <c r="I5605" s="12" t="inlineStr">
        <is>
          <t>MV 15 kV</t>
        </is>
      </c>
      <c r="J5605" s="12" t="inlineStr">
        <is>
          <t>MV-105 15 kV 1/C Cu, EPR 133%, Cu tape shield, PVC jacket (triplexed)</t>
        </is>
      </c>
      <c r="K5605" s="12" t="inlineStr">
        <is>
          <t>MV15|1/C|2</t>
        </is>
      </c>
      <c r="L5605" s="12" t="inlineStr">
        <is>
          <t>1/C</t>
        </is>
      </c>
      <c r="M5605" s="12" t="inlineStr">
        <is>
          <t>2</t>
        </is>
      </c>
      <c r="N5605" s="12" t="n">
        <v>1</v>
      </c>
      <c r="O5605" s="12" t="n">
        <v>1</v>
      </c>
      <c r="P5605" s="12" t="n">
        <v>13800</v>
      </c>
      <c r="Q5605" s="12" t="n"/>
      <c r="R5605" s="12" t="n"/>
      <c r="S5605" s="12" t="inlineStr">
        <is>
          <t>Conduit</t>
        </is>
      </c>
      <c r="T5605" s="15" t="n">
        <v>15</v>
      </c>
      <c r="U5605" s="15" t="n">
        <v>5</v>
      </c>
      <c r="V5605" s="15">
        <f>ROUNDUP((T5605+U5605+2*'Read Me'!$B$13)*(1+'Read Me'!$B$12),-1)</f>
        <v/>
      </c>
      <c r="W5605" s="15">
        <f>V5605*N5605*O5605</f>
        <v/>
      </c>
      <c r="X5605" s="12">
        <f>IF(LEFT(I5605,2)="MV",2*N5605*IF(L5605="1/C",O5605,1),0)</f>
        <v/>
      </c>
      <c r="Y5605" s="12">
        <f>IF(OR(LEFT(K5605,4)="LVAX",LEFT(K5605,6)="MV15AX",LEFT(K5605,4)="CTAX",LEFT(K5605,2)="W|"),2*N5605*O5605,0)</f>
        <v/>
      </c>
      <c r="Z5605" s="12" t="inlineStr">
        <is>
          <t>NGR in the generator / terminal-box enclosure</t>
        </is>
      </c>
      <c r="AA5605" s="12">
        <f>N5605*O5605</f>
        <v/>
      </c>
    </row>
    <row r="5606">
      <c r="A5606" s="12" t="inlineStr">
        <is>
          <t>I-MV-0065</t>
        </is>
      </c>
      <c r="B5606" s="12" t="inlineStr">
        <is>
          <t>I</t>
        </is>
      </c>
      <c r="C5606" s="12" t="inlineStr">
        <is>
          <t>Modular / portable power</t>
        </is>
      </c>
      <c r="D5606" s="12" t="inlineStr">
        <is>
          <t>TGF-SWG 13.8 kV to TGF-GSU</t>
        </is>
      </c>
      <c r="E5606" s="12" t="inlineStr">
        <is>
          <t>TGF-SWG</t>
        </is>
      </c>
      <c r="F5606" s="12" t="inlineStr">
        <is>
          <t>TGF-SWG: mobile 13.8 kV switchgear trailer (fleet collector)</t>
        </is>
      </c>
      <c r="G5606" s="12" t="inlineStr">
        <is>
          <t>TGF-GSU</t>
        </is>
      </c>
      <c r="H5606" s="12" t="inlineStr">
        <is>
          <t>TGF-GSU: 13.8 / 34.5 kV step-up, ~20 MVA (trailer fleet)</t>
        </is>
      </c>
      <c r="I5606" s="12" t="inlineStr">
        <is>
          <t>MV 15 kV</t>
        </is>
      </c>
      <c r="J5606" s="12" t="inlineStr">
        <is>
          <t>MV-105 15 kV 1/C Cu, EPR 133%, Cu tape shield, PVC jacket (triplexed)</t>
        </is>
      </c>
      <c r="K5606" s="12" t="inlineStr">
        <is>
          <t>MV15|1/C|500</t>
        </is>
      </c>
      <c r="L5606" s="12" t="inlineStr">
        <is>
          <t>1/C</t>
        </is>
      </c>
      <c r="M5606" s="12" t="inlineStr">
        <is>
          <t>500 kcmil</t>
        </is>
      </c>
      <c r="N5606" s="12" t="n">
        <v>2</v>
      </c>
      <c r="O5606" s="12" t="n">
        <v>3</v>
      </c>
      <c r="P5606" s="12" t="n">
        <v>13800</v>
      </c>
      <c r="Q5606" s="12" t="n">
        <v>15000</v>
      </c>
      <c r="R5606" s="12" t="n">
        <v>697</v>
      </c>
      <c r="S5606" s="12" t="inlineStr">
        <is>
          <t>Surface</t>
        </is>
      </c>
      <c r="T5606" s="15" t="n">
        <v>36</v>
      </c>
      <c r="U5606" s="15" t="n">
        <v>27</v>
      </c>
      <c r="V5606" s="15">
        <f>ROUNDUP((T5606+U5606+2*'Read Me'!$B$13)*(1+'Read Me'!$B$12),-1)</f>
        <v/>
      </c>
      <c r="W5606" s="15">
        <f>V5606*N5606*O5606</f>
        <v/>
      </c>
      <c r="X5606" s="12">
        <f>IF(LEFT(I5606,2)="MV",2*N5606*IF(L5606="1/C",O5606,1),0)</f>
        <v/>
      </c>
      <c r="Y5606" s="12">
        <f>IF(OR(LEFT(K5606,4)="LVAX",LEFT(K5606,6)="MV15AX",LEFT(K5606,4)="CTAX",LEFT(K5606,2)="W|"),2*N5606*O5606,0)</f>
        <v/>
      </c>
      <c r="Z5606" s="12" t="inlineStr">
        <is>
          <t>2 sets per phase</t>
        </is>
      </c>
      <c r="AA5606" s="12">
        <f>N5606*O5606</f>
        <v/>
      </c>
    </row>
    <row r="5607">
      <c r="A5607" s="12" t="inlineStr">
        <is>
          <t>I-MV-0066</t>
        </is>
      </c>
      <c r="B5607" s="12" t="inlineStr">
        <is>
          <t>I</t>
        </is>
      </c>
      <c r="C5607" s="12" t="inlineStr">
        <is>
          <t>Modular / portable power</t>
        </is>
      </c>
      <c r="D5607" s="12" t="inlineStr">
        <is>
          <t>L3 35 kV collector loop, segment 1 of 5 (SWG-MY to GBT-1)</t>
        </is>
      </c>
      <c r="E5607" s="12" t="inlineStr">
        <is>
          <t>SWG-MY</t>
        </is>
      </c>
      <c r="F5607" s="12" t="inlineStr">
        <is>
          <t xml:space="preserve">SWG-MY: 35 kV switchgear lineup for the modular blocks (group breaker </t>
        </is>
      </c>
      <c r="G5607" s="12" t="inlineStr">
        <is>
          <t>GBT-1</t>
        </is>
      </c>
      <c r="H5607" s="12" t="inlineStr">
        <is>
          <t>GBT-1: block GB-1 step-up 480 V : 34.5 kV, ~3 MVA pad-mount (on the 35</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Duct bank</t>
        </is>
      </c>
      <c r="T5607" s="15" t="n">
        <v>181</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loop conductor 750 kcmil Al, 133 % (WORKING ASSUMPTION)</t>
        </is>
      </c>
      <c r="AA5607" s="12">
        <f>N5607*O5607</f>
        <v/>
      </c>
    </row>
    <row r="5608">
      <c r="A5608" s="12" t="inlineStr">
        <is>
          <t>I-MV-0067</t>
        </is>
      </c>
      <c r="B5608" s="12" t="inlineStr">
        <is>
          <t>I</t>
        </is>
      </c>
      <c r="C5608" s="12" t="inlineStr">
        <is>
          <t>Modular / portable power</t>
        </is>
      </c>
      <c r="D5608" s="12" t="inlineStr">
        <is>
          <t>L3 35 kV collector loop, segment 2 of 5 (GBT-1 to GBT-2)</t>
        </is>
      </c>
      <c r="E5608" s="12" t="inlineStr">
        <is>
          <t>GBT-1</t>
        </is>
      </c>
      <c r="F5608" s="12" t="inlineStr">
        <is>
          <t>GBT-1: block GB-1 step-up 480 V : 34.5 kV, ~3 MVA pad-mount (on the 35</t>
        </is>
      </c>
      <c r="G5608" s="12" t="inlineStr">
        <is>
          <t>GBT-2</t>
        </is>
      </c>
      <c r="H5608" s="12" t="inlineStr">
        <is>
          <t>GBT-2: block GB-2 step-up 480 V : 34.5 kV, ~3 MVA pad-mount (on the 35</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1</v>
      </c>
      <c r="O5608" s="12" t="n">
        <v>3</v>
      </c>
      <c r="P5608" s="12" t="n">
        <v>34500</v>
      </c>
      <c r="Q5608" s="12" t="n">
        <v>10000</v>
      </c>
      <c r="R5608" s="12" t="n">
        <v>167</v>
      </c>
      <c r="S5608" s="12" t="inlineStr">
        <is>
          <t>Surface</t>
        </is>
      </c>
      <c r="T5608" s="15" t="n">
        <v>78</v>
      </c>
      <c r="U5608" s="15" t="n">
        <v>37</v>
      </c>
      <c r="V5608" s="15">
        <f>ROUNDUP((T5608+U5608+2*'Read Me'!$B$13)*(1+'Read Me'!$B$12),-1)</f>
        <v/>
      </c>
      <c r="W5608" s="15">
        <f>V5608*N5608*O5608</f>
        <v/>
      </c>
      <c r="X5608" s="12">
        <f>IF(LEFT(I5608,2)="MV",2*N5608*IF(L5608="1/C",O5608,1),0)</f>
        <v/>
      </c>
      <c r="Y5608" s="12">
        <f>IF(OR(LEFT(K5608,4)="LVAX",LEFT(K5608,6)="MV15AX",LEFT(K5608,4)="CTAX",LEFT(K5608,2)="W|"),2*N5608*O5608,0)</f>
        <v/>
      </c>
      <c r="Z5608" s="12" t="inlineStr">
        <is>
          <t>loop conductor 750 kcmil Al, 133 % (WORKING ASSUMPTION)</t>
        </is>
      </c>
      <c r="AA5608" s="12">
        <f>N5608*O5608</f>
        <v/>
      </c>
    </row>
    <row r="5609">
      <c r="A5609" s="12" t="inlineStr">
        <is>
          <t>I-MV-0068</t>
        </is>
      </c>
      <c r="B5609" s="12" t="inlineStr">
        <is>
          <t>I</t>
        </is>
      </c>
      <c r="C5609" s="12" t="inlineStr">
        <is>
          <t>Modular / portable power</t>
        </is>
      </c>
      <c r="D5609" s="12" t="inlineStr">
        <is>
          <t>L3 35 kV collector loop, segment 3 of 5 (GBT-2 to GBT-3)</t>
        </is>
      </c>
      <c r="E5609" s="12" t="inlineStr">
        <is>
          <t>GBT-2</t>
        </is>
      </c>
      <c r="F5609" s="12" t="inlineStr">
        <is>
          <t>GBT-2: block GB-2 step-up 480 V : 34.5 kV, ~3 MVA pad-mount (on the 35</t>
        </is>
      </c>
      <c r="G5609" s="12" t="inlineStr">
        <is>
          <t>GBT-3</t>
        </is>
      </c>
      <c r="H5609" s="12" t="inlineStr">
        <is>
          <t>GBT-3: block GB-3 step-up 480 V : 34.5 kV, ~3 MVA pad-mount (on the 35</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10000</v>
      </c>
      <c r="R5609" s="12" t="n">
        <v>167</v>
      </c>
      <c r="S5609" s="12" t="inlineStr">
        <is>
          <t>Surface</t>
        </is>
      </c>
      <c r="T5609" s="15" t="n">
        <v>28</v>
      </c>
      <c r="U5609" s="15" t="n">
        <v>27</v>
      </c>
      <c r="V5609" s="15">
        <f>ROUNDUP((T5609+U5609+2*'Read Me'!$B$13)*(1+'Read Me'!$B$12),-1)</f>
        <v/>
      </c>
      <c r="W5609" s="15">
        <f>V5609*N5609*O5609</f>
        <v/>
      </c>
      <c r="X5609" s="12">
        <f>IF(LEFT(I5609,2)="MV",2*N5609*IF(L5609="1/C",O5609,1),0)</f>
        <v/>
      </c>
      <c r="Y5609" s="12">
        <f>IF(OR(LEFT(K5609,4)="LVAX",LEFT(K5609,6)="MV15AX",LEFT(K5609,4)="CTAX",LEFT(K5609,2)="W|"),2*N5609*O5609,0)</f>
        <v/>
      </c>
      <c r="Z5609" s="12" t="inlineStr">
        <is>
          <t>loop conductor 750 kcmil Al, 133 % (WORKING ASSUMPTION)</t>
        </is>
      </c>
      <c r="AA5609" s="12">
        <f>N5609*O5609</f>
        <v/>
      </c>
    </row>
    <row r="5610">
      <c r="A5610" s="12" t="inlineStr">
        <is>
          <t>I-MV-0069</t>
        </is>
      </c>
      <c r="B5610" s="12" t="inlineStr">
        <is>
          <t>I</t>
        </is>
      </c>
      <c r="C5610" s="12" t="inlineStr">
        <is>
          <t>Modular / portable power</t>
        </is>
      </c>
      <c r="D5610" s="12" t="inlineStr">
        <is>
          <t>L3 35 kV collector loop, segment 4 of 5 (GBT-3 to GBT-4)</t>
        </is>
      </c>
      <c r="E5610" s="12" t="inlineStr">
        <is>
          <t>GBT-3</t>
        </is>
      </c>
      <c r="F5610" s="12" t="inlineStr">
        <is>
          <t>GBT-3: block GB-3 step-up 480 V : 34.5 kV, ~3 MVA pad-mount (on the 35</t>
        </is>
      </c>
      <c r="G5610" s="12" t="inlineStr">
        <is>
          <t>GBT-4</t>
        </is>
      </c>
      <c r="H5610" s="12" t="inlineStr">
        <is>
          <t>GBT-4: block GB-4 step-up 480 V : 34.5 kV, ~3 MVA pad-mount (on the 35</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1</v>
      </c>
      <c r="O5610" s="12" t="n">
        <v>3</v>
      </c>
      <c r="P5610" s="12" t="n">
        <v>34500</v>
      </c>
      <c r="Q5610" s="12" t="n">
        <v>10000</v>
      </c>
      <c r="R5610" s="12" t="n">
        <v>167</v>
      </c>
      <c r="S5610" s="12" t="inlineStr">
        <is>
          <t>Surface</t>
        </is>
      </c>
      <c r="T5610" s="15" t="n">
        <v>79</v>
      </c>
      <c r="U5610" s="15" t="n">
        <v>37</v>
      </c>
      <c r="V5610" s="15">
        <f>ROUNDUP((T5610+U5610+2*'Read Me'!$B$13)*(1+'Read Me'!$B$12),-1)</f>
        <v/>
      </c>
      <c r="W5610" s="15">
        <f>V5610*N5610*O5610</f>
        <v/>
      </c>
      <c r="X5610" s="12">
        <f>IF(LEFT(I5610,2)="MV",2*N5610*IF(L5610="1/C",O5610,1),0)</f>
        <v/>
      </c>
      <c r="Y5610" s="12">
        <f>IF(OR(LEFT(K5610,4)="LVAX",LEFT(K5610,6)="MV15AX",LEFT(K5610,4)="CTAX",LEFT(K5610,2)="W|"),2*N5610*O5610,0)</f>
        <v/>
      </c>
      <c r="Z5610" s="12" t="inlineStr">
        <is>
          <t>loop conductor 750 kcmil Al, 133 % (WORKING ASSUMPTION)</t>
        </is>
      </c>
      <c r="AA5610" s="12">
        <f>N5610*O5610</f>
        <v/>
      </c>
    </row>
    <row r="5611">
      <c r="A5611" s="12" t="inlineStr">
        <is>
          <t>I-MV-0070</t>
        </is>
      </c>
      <c r="B5611" s="12" t="inlineStr">
        <is>
          <t>I</t>
        </is>
      </c>
      <c r="C5611" s="12" t="inlineStr">
        <is>
          <t>Modular / portable power</t>
        </is>
      </c>
      <c r="D5611" s="12" t="inlineStr">
        <is>
          <t>RICE-GSU-A 34.5 kV to MOD-EH bus 1</t>
        </is>
      </c>
      <c r="E5611" s="12" t="inlineStr">
        <is>
          <t>RICE-GSU-A</t>
        </is>
      </c>
      <c r="F5611" s="12" t="inlineStr">
        <is>
          <t>RICE-GSU-A: 13.8 / 34.5 kV group step-up, ~45 MVA (RICE 1-2)</t>
        </is>
      </c>
      <c r="G5611" s="12" t="inlineStr">
        <is>
          <t>MOD-EH</t>
        </is>
      </c>
      <c r="H5611" s="12" t="inlineStr">
        <is>
          <t>MOD-EH: 34.5 kV modular collector e-house (2 bus sections + 13.8 kV st</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36800</v>
      </c>
      <c r="R5611" s="12" t="n">
        <v>684</v>
      </c>
      <c r="S5611" s="12" t="inlineStr">
        <is>
          <t>Duct bank</t>
        </is>
      </c>
      <c r="T5611" s="15" t="n">
        <v>206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I-MV-0071</t>
        </is>
      </c>
      <c r="B5612" s="12" t="inlineStr">
        <is>
          <t>I</t>
        </is>
      </c>
      <c r="C5612" s="12" t="inlineStr">
        <is>
          <t>Modular / portable power</t>
        </is>
      </c>
      <c r="D5612" s="12" t="inlineStr">
        <is>
          <t>RICE-GSU-B 34.5 kV to MOD-EH bus 1</t>
        </is>
      </c>
      <c r="E5612" s="12" t="inlineStr">
        <is>
          <t>RICE-GSU-B</t>
        </is>
      </c>
      <c r="F5612" s="12" t="inlineStr">
        <is>
          <t>RICE-GSU-B: 13.8 / 34.5 kV group step-up, ~45 MVA (RICE 3-4)</t>
        </is>
      </c>
      <c r="G5612" s="12" t="inlineStr">
        <is>
          <t>MOD-EH</t>
        </is>
      </c>
      <c r="H5612" s="12" t="inlineStr">
        <is>
          <t>MOD-EH: 34.5 kV modular collector e-house (2 bus sections + 13.8 kV st</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2</v>
      </c>
      <c r="O5612" s="12" t="n">
        <v>3</v>
      </c>
      <c r="P5612" s="12" t="n">
        <v>34500</v>
      </c>
      <c r="Q5612" s="12" t="n">
        <v>36800</v>
      </c>
      <c r="R5612" s="12" t="n">
        <v>684</v>
      </c>
      <c r="S5612" s="12" t="inlineStr">
        <is>
          <t>Duct bank</t>
        </is>
      </c>
      <c r="T5612" s="15" t="n">
        <v>179</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2 sets per phase</t>
        </is>
      </c>
      <c r="AA5612" s="12">
        <f>N5612*O5612</f>
        <v/>
      </c>
    </row>
    <row r="5613">
      <c r="A5613" s="12" t="inlineStr">
        <is>
          <t>I-MV-0072</t>
        </is>
      </c>
      <c r="B5613" s="12" t="inlineStr">
        <is>
          <t>I</t>
        </is>
      </c>
      <c r="C5613" s="12" t="inlineStr">
        <is>
          <t>Modular / portable power</t>
        </is>
      </c>
      <c r="D5613" s="12" t="inlineStr">
        <is>
          <t>RICE-GSU-C 34.5 kV to MOD-EH bus 2</t>
        </is>
      </c>
      <c r="E5613" s="12" t="inlineStr">
        <is>
          <t>RICE-GSU-C</t>
        </is>
      </c>
      <c r="F5613" s="12" t="inlineStr">
        <is>
          <t>RICE-GSU-C: 13.8 / 34.5 kV group step-up, ~45 MVA (RICE 5-6)</t>
        </is>
      </c>
      <c r="G5613" s="12" t="inlineStr">
        <is>
          <t>MOD-EH</t>
        </is>
      </c>
      <c r="H5613" s="12" t="inlineStr">
        <is>
          <t>MOD-EH: 34.5 kV modular collector e-house (2 bus sections + 13.8 kV st</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36800</v>
      </c>
      <c r="R5613" s="12" t="n">
        <v>684</v>
      </c>
      <c r="S5613" s="12" t="inlineStr">
        <is>
          <t>Duct bank</t>
        </is>
      </c>
      <c r="T5613" s="15" t="n">
        <v>152</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I-MV-0073</t>
        </is>
      </c>
      <c r="B5614" s="12" t="inlineStr">
        <is>
          <t>I</t>
        </is>
      </c>
      <c r="C5614" s="12" t="inlineStr">
        <is>
          <t>Modular / portable power</t>
        </is>
      </c>
      <c r="D5614" s="12" t="inlineStr">
        <is>
          <t>RICE-GSU-D 34.5 kV to MOD-EH bus 2</t>
        </is>
      </c>
      <c r="E5614" s="12" t="inlineStr">
        <is>
          <t>RICE-GSU-D</t>
        </is>
      </c>
      <c r="F5614" s="12" t="inlineStr">
        <is>
          <t>RICE-GSU-D: 13.8 / 34.5 kV group step-up, ~45 MVA (RICE 7-8)</t>
        </is>
      </c>
      <c r="G5614" s="12" t="inlineStr">
        <is>
          <t>MOD-EH</t>
        </is>
      </c>
      <c r="H5614" s="12" t="inlineStr">
        <is>
          <t>MOD-EH: 34.5 kV modular collector e-house (2 bus sections + 13.8 kV st</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2</v>
      </c>
      <c r="O5614" s="12" t="n">
        <v>3</v>
      </c>
      <c r="P5614" s="12" t="n">
        <v>34500</v>
      </c>
      <c r="Q5614" s="12" t="n">
        <v>36800</v>
      </c>
      <c r="R5614" s="12" t="n">
        <v>684</v>
      </c>
      <c r="S5614" s="12" t="inlineStr">
        <is>
          <t>Duct bank</t>
        </is>
      </c>
      <c r="T5614" s="15" t="n">
        <v>125</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2 sets per phase</t>
        </is>
      </c>
      <c r="AA5614" s="12">
        <f>N5614*O5614</f>
        <v/>
      </c>
    </row>
    <row r="5615">
      <c r="A5615" s="12" t="inlineStr">
        <is>
          <t>I-MV-0074</t>
        </is>
      </c>
      <c r="B5615" s="12" t="inlineStr">
        <is>
          <t>I</t>
        </is>
      </c>
      <c r="C5615" s="12" t="inlineStr">
        <is>
          <t>Modular / portable power</t>
        </is>
      </c>
      <c r="D5615" s="12" t="inlineStr">
        <is>
          <t>SC-GSU-1 34.5 kV to MOD-EH bus 1</t>
        </is>
      </c>
      <c r="E5615" s="12" t="inlineStr">
        <is>
          <t>SC-GSU-1</t>
        </is>
      </c>
      <c r="F5615" s="12" t="inlineStr">
        <is>
          <t>SC-GSU-1: 13.8 / 34.5 kV unit step-up, ~60 MVA (SC-1)</t>
        </is>
      </c>
      <c r="G5615" s="12" t="inlineStr">
        <is>
          <t>MOD-EH</t>
        </is>
      </c>
      <c r="H5615" s="12" t="inlineStr">
        <is>
          <t>MOD-EH: 34.5 kV modular collector e-house (2 bus sections + 13.8 kV st</t>
        </is>
      </c>
      <c r="I5615" s="12" t="inlineStr">
        <is>
          <t>MV 35 kV</t>
        </is>
      </c>
      <c r="J5615" s="12" t="inlineStr">
        <is>
          <t>MV-105 35 kV 1/C Al, EPR 133%, 1/3 concentric neutral, LLDPE jacket</t>
        </is>
      </c>
      <c r="K5615" s="12" t="inlineStr">
        <is>
          <t>MV35|1/C|750</t>
        </is>
      </c>
      <c r="L5615" s="12" t="inlineStr">
        <is>
          <t>1/C</t>
        </is>
      </c>
      <c r="M5615" s="12" t="inlineStr">
        <is>
          <t>750 kcmil</t>
        </is>
      </c>
      <c r="N5615" s="12" t="n">
        <v>3</v>
      </c>
      <c r="O5615" s="12" t="n">
        <v>3</v>
      </c>
      <c r="P5615" s="12" t="n">
        <v>34500</v>
      </c>
      <c r="Q5615" s="12" t="n">
        <v>50000</v>
      </c>
      <c r="R5615" s="12" t="n">
        <v>930</v>
      </c>
      <c r="S5615" s="12" t="inlineStr">
        <is>
          <t>Duct bank</t>
        </is>
      </c>
      <c r="T5615" s="15" t="n">
        <v>460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3 sets per phase</t>
        </is>
      </c>
      <c r="AA5615" s="12">
        <f>N5615*O5615</f>
        <v/>
      </c>
    </row>
    <row r="5616">
      <c r="A5616" s="12" t="inlineStr">
        <is>
          <t>I-MV-0075</t>
        </is>
      </c>
      <c r="B5616" s="12" t="inlineStr">
        <is>
          <t>I</t>
        </is>
      </c>
      <c r="C5616" s="12" t="inlineStr">
        <is>
          <t>Modular / portable power</t>
        </is>
      </c>
      <c r="D5616" s="12" t="inlineStr">
        <is>
          <t>SC-GSU-2 34.5 kV to MOD-EH bus 2</t>
        </is>
      </c>
      <c r="E5616" s="12" t="inlineStr">
        <is>
          <t>SC-GSU-2</t>
        </is>
      </c>
      <c r="F5616" s="12" t="inlineStr">
        <is>
          <t>SC-GSU-2: 13.8 / 34.5 kV unit step-up, ~60 MVA (SC-2)</t>
        </is>
      </c>
      <c r="G5616" s="12" t="inlineStr">
        <is>
          <t>MOD-EH</t>
        </is>
      </c>
      <c r="H5616" s="12" t="inlineStr">
        <is>
          <t>MOD-EH: 34.5 kV modular collector e-house (2 bus sections + 13.8 kV st</t>
        </is>
      </c>
      <c r="I5616" s="12" t="inlineStr">
        <is>
          <t>MV 35 kV</t>
        </is>
      </c>
      <c r="J5616" s="12" t="inlineStr">
        <is>
          <t>MV-105 35 kV 1/C Al, EPR 133%, 1/3 concentric neutral, LLDPE jacket</t>
        </is>
      </c>
      <c r="K5616" s="12" t="inlineStr">
        <is>
          <t>MV35|1/C|750</t>
        </is>
      </c>
      <c r="L5616" s="12" t="inlineStr">
        <is>
          <t>1/C</t>
        </is>
      </c>
      <c r="M5616" s="12" t="inlineStr">
        <is>
          <t>750 kcmil</t>
        </is>
      </c>
      <c r="N5616" s="12" t="n">
        <v>3</v>
      </c>
      <c r="O5616" s="12" t="n">
        <v>3</v>
      </c>
      <c r="P5616" s="12" t="n">
        <v>34500</v>
      </c>
      <c r="Q5616" s="12" t="n">
        <v>50000</v>
      </c>
      <c r="R5616" s="12" t="n">
        <v>930</v>
      </c>
      <c r="S5616" s="12" t="inlineStr">
        <is>
          <t>Duct bank</t>
        </is>
      </c>
      <c r="T5616" s="15" t="n">
        <v>540</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3 sets per phase</t>
        </is>
      </c>
      <c r="AA5616" s="12">
        <f>N5616*O5616</f>
        <v/>
      </c>
    </row>
    <row r="5617">
      <c r="A5617" s="12" t="inlineStr">
        <is>
          <t>I-MV-0076</t>
        </is>
      </c>
      <c r="B5617" s="12" t="inlineStr">
        <is>
          <t>I</t>
        </is>
      </c>
      <c r="C5617" s="12" t="inlineStr">
        <is>
          <t>Modular / portable power</t>
        </is>
      </c>
      <c r="D5617" s="12" t="inlineStr">
        <is>
          <t>MOD-GT1 zigzag grounding transformer, bus 1</t>
        </is>
      </c>
      <c r="E5617" s="12" t="inlineStr">
        <is>
          <t>MOD-EH</t>
        </is>
      </c>
      <c r="F5617" s="12" t="inlineStr">
        <is>
          <t>MOD-EH: 34.5 kV modular collector e-house (2 bus sections + 13.8 kV st</t>
        </is>
      </c>
      <c r="G5617" s="12" t="inlineStr">
        <is>
          <t>MOD-GT1</t>
        </is>
      </c>
      <c r="H5617" s="12" t="inlineStr">
        <is>
          <t>MOD-GT1: 34.5 kV zigzag grounding transformer, MOD-EH bus 1</t>
        </is>
      </c>
      <c r="I5617" s="12" t="inlineStr">
        <is>
          <t>MV 35 kV</t>
        </is>
      </c>
      <c r="J5617" s="12" t="inlineStr">
        <is>
          <t>MV-105 35 kV 1/C Al, EPR 133%, 1/3 concentric neutral, LLDPE jacket</t>
        </is>
      </c>
      <c r="K5617" s="12" t="inlineStr">
        <is>
          <t>MV35|1/C|2</t>
        </is>
      </c>
      <c r="L5617" s="12" t="inlineStr">
        <is>
          <t>1/C</t>
        </is>
      </c>
      <c r="M5617" s="12" t="inlineStr">
        <is>
          <t>2</t>
        </is>
      </c>
      <c r="N5617" s="12" t="n">
        <v>1</v>
      </c>
      <c r="O5617" s="12" t="n">
        <v>3</v>
      </c>
      <c r="P5617" s="12" t="n">
        <v>34500</v>
      </c>
      <c r="Q5617" s="12" t="n">
        <v>300</v>
      </c>
      <c r="R5617" s="12" t="n">
        <v>5</v>
      </c>
      <c r="S5617" s="12" t="inlineStr">
        <is>
          <t>Riser</t>
        </is>
      </c>
      <c r="T5617" s="15" t="n">
        <v>4</v>
      </c>
      <c r="U5617" s="15" t="n">
        <v>32</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I-MV-0077</t>
        </is>
      </c>
      <c r="B5618" s="12" t="inlineStr">
        <is>
          <t>I</t>
        </is>
      </c>
      <c r="C5618" s="12" t="inlineStr">
        <is>
          <t>Modular / portable power</t>
        </is>
      </c>
      <c r="D5618" s="12" t="inlineStr">
        <is>
          <t>MOD-GT2 zigzag grounding transformer, bus 2</t>
        </is>
      </c>
      <c r="E5618" s="12" t="inlineStr">
        <is>
          <t>MOD-EH</t>
        </is>
      </c>
      <c r="F5618" s="12" t="inlineStr">
        <is>
          <t>MOD-EH: 34.5 kV modular collector e-house (2 bus sections + 13.8 kV st</t>
        </is>
      </c>
      <c r="G5618" s="12" t="inlineStr">
        <is>
          <t>MOD-GT2</t>
        </is>
      </c>
      <c r="H5618" s="12" t="inlineStr">
        <is>
          <t>MOD-GT2: 34.5 kV zigzag grounding transformer, MOD-EH bus 2</t>
        </is>
      </c>
      <c r="I5618" s="12" t="inlineStr">
        <is>
          <t>MV 35 kV</t>
        </is>
      </c>
      <c r="J5618" s="12" t="inlineStr">
        <is>
          <t>MV-105 35 kV 1/C Al, EPR 133%, 1/3 concentric neutral, LLDPE jacket</t>
        </is>
      </c>
      <c r="K5618" s="12" t="inlineStr">
        <is>
          <t>MV35|1/C|2</t>
        </is>
      </c>
      <c r="L5618" s="12" t="inlineStr">
        <is>
          <t>1/C</t>
        </is>
      </c>
      <c r="M5618" s="12" t="inlineStr">
        <is>
          <t>2</t>
        </is>
      </c>
      <c r="N5618" s="12" t="n">
        <v>1</v>
      </c>
      <c r="O5618" s="12" t="n">
        <v>3</v>
      </c>
      <c r="P5618" s="12" t="n">
        <v>34500</v>
      </c>
      <c r="Q5618" s="12" t="n">
        <v>300</v>
      </c>
      <c r="R5618" s="12" t="n">
        <v>5</v>
      </c>
      <c r="S5618" s="12" t="inlineStr">
        <is>
          <t>Riser</t>
        </is>
      </c>
      <c r="T5618" s="15" t="n">
        <v>4</v>
      </c>
      <c r="U5618" s="15" t="n">
        <v>32</v>
      </c>
      <c r="V5618" s="15">
        <f>ROUNDUP((T5618+U5618+2*'Read Me'!$B$13)*(1+'Read Me'!$B$12),-1)</f>
        <v/>
      </c>
      <c r="W5618" s="15">
        <f>V5618*N5618*O5618</f>
        <v/>
      </c>
      <c r="X5618" s="12">
        <f>IF(LEFT(I5618,2)="MV",2*N5618*IF(L5618="1/C",O5618,1),0)</f>
        <v/>
      </c>
      <c r="Y5618" s="12">
        <f>IF(OR(LEFT(K5618,4)="LVAX",LEFT(K5618,6)="MV15AX",LEFT(K5618,4)="CTAX",LEFT(K5618,2)="W|"),2*N5618*O5618,0)</f>
        <v/>
      </c>
      <c r="Z5618" s="12" t="inlineStr"/>
      <c r="AA5618" s="12">
        <f>N5618*O5618</f>
        <v/>
      </c>
    </row>
    <row r="5619">
      <c r="A5619" s="12" t="inlineStr">
        <is>
          <t>I-MV-0078</t>
        </is>
      </c>
      <c r="B5619" s="12" t="inlineStr">
        <is>
          <t>I</t>
        </is>
      </c>
      <c r="C5619" s="12" t="inlineStr">
        <is>
          <t>Modular / portable power</t>
        </is>
      </c>
      <c r="D5619" s="12" t="inlineStr">
        <is>
          <t>MOD-SST 34.5 kV primary</t>
        </is>
      </c>
      <c r="E5619" s="12" t="inlineStr">
        <is>
          <t>MOD-EH</t>
        </is>
      </c>
      <c r="F5619" s="12" t="inlineStr">
        <is>
          <t>MOD-EH: 34.5 kV modular collector e-house (2 bus sections + 13.8 kV st</t>
        </is>
      </c>
      <c r="G5619" s="12" t="inlineStr">
        <is>
          <t>MOD-SST</t>
        </is>
      </c>
      <c r="H5619" s="12" t="inlineStr">
        <is>
          <t>MOD-SST: 34.5 / 13.8 kV station-service transformer, ~10 MVA (yard sta</t>
        </is>
      </c>
      <c r="I5619" s="12" t="inlineStr">
        <is>
          <t>MV 35 kV</t>
        </is>
      </c>
      <c r="J5619" s="12" t="inlineStr">
        <is>
          <t>MV-105 35 kV 1/C Al, EPR 133%, 1/3 concentric neutral, LLDPE jacket</t>
        </is>
      </c>
      <c r="K5619" s="12" t="inlineStr">
        <is>
          <t>MV35|1/C|4/0</t>
        </is>
      </c>
      <c r="L5619" s="12" t="inlineStr">
        <is>
          <t>1/C</t>
        </is>
      </c>
      <c r="M5619" s="12" t="inlineStr">
        <is>
          <t>4/0</t>
        </is>
      </c>
      <c r="N5619" s="12" t="n">
        <v>1</v>
      </c>
      <c r="O5619" s="12" t="n">
        <v>3</v>
      </c>
      <c r="P5619" s="12" t="n">
        <v>34500</v>
      </c>
      <c r="Q5619" s="12" t="n">
        <v>9000</v>
      </c>
      <c r="R5619" s="12" t="n">
        <v>167</v>
      </c>
      <c r="S5619" s="12" t="inlineStr">
        <is>
          <t>Duct bank</t>
        </is>
      </c>
      <c r="T5619" s="15" t="n">
        <v>46</v>
      </c>
      <c r="U5619" s="15" t="n">
        <v>20</v>
      </c>
      <c r="V5619" s="15">
        <f>ROUNDUP((T5619+U5619+2*'Read Me'!$B$13)*(1+'Read Me'!$B$12),-1)</f>
        <v/>
      </c>
      <c r="W5619" s="15">
        <f>V5619*N5619*O5619</f>
        <v/>
      </c>
      <c r="X5619" s="12">
        <f>IF(LEFT(I5619,2)="MV",2*N5619*IF(L5619="1/C",O5619,1),0)</f>
        <v/>
      </c>
      <c r="Y5619" s="12">
        <f>IF(OR(LEFT(K5619,4)="LVAX",LEFT(K5619,6)="MV15AX",LEFT(K5619,4)="CTAX",LEFT(K5619,2)="W|"),2*N5619*O5619,0)</f>
        <v/>
      </c>
      <c r="Z5619" s="12" t="inlineStr">
        <is>
          <t>1 set per phase</t>
        </is>
      </c>
      <c r="AA5619" s="12">
        <f>N5619*O5619</f>
        <v/>
      </c>
    </row>
    <row r="5620">
      <c r="A5620" s="12" t="inlineStr">
        <is>
          <t>I-MV-0079</t>
        </is>
      </c>
      <c r="B5620" s="12" t="inlineStr">
        <is>
          <t>I</t>
        </is>
      </c>
      <c r="C5620" s="12" t="inlineStr">
        <is>
          <t>Modular / portable power</t>
        </is>
      </c>
      <c r="D5620" s="12" t="inlineStr">
        <is>
          <t>PGS-TX1 to PGS-TX2 34.5 kV loop feed</t>
        </is>
      </c>
      <c r="E5620" s="12" t="inlineStr">
        <is>
          <t>PGS-TX1</t>
        </is>
      </c>
      <c r="F5620" s="12" t="inlineStr">
        <is>
          <t>PGS-TX1: 480 V : 34.5 kV, ~5 MVA loop-feed pad-mount (gensets 1-4)</t>
        </is>
      </c>
      <c r="G5620" s="12" t="inlineStr">
        <is>
          <t>PGS-TX2</t>
        </is>
      </c>
      <c r="H5620" s="12" t="inlineStr">
        <is>
          <t>PGS-TX2: 480 V : 34.5 kV, ~5 MVA loop-feed pad-mount (gensets 5-8)</t>
        </is>
      </c>
      <c r="I5620" s="12" t="inlineStr">
        <is>
          <t>MV 35 kV</t>
        </is>
      </c>
      <c r="J5620" s="12" t="inlineStr">
        <is>
          <t>MV-105 35 kV 1/C Al, EPR 133%, 1/3 concentric neutral, LLDPE jacket</t>
        </is>
      </c>
      <c r="K5620" s="12" t="inlineStr">
        <is>
          <t>MV35|1/C|2</t>
        </is>
      </c>
      <c r="L5620" s="12" t="inlineStr">
        <is>
          <t>1/C</t>
        </is>
      </c>
      <c r="M5620" s="12" t="inlineStr">
        <is>
          <t>2</t>
        </is>
      </c>
      <c r="N5620" s="12" t="n">
        <v>1</v>
      </c>
      <c r="O5620" s="12" t="n">
        <v>3</v>
      </c>
      <c r="P5620" s="12" t="n">
        <v>34500</v>
      </c>
      <c r="Q5620" s="12" t="n">
        <v>4000</v>
      </c>
      <c r="R5620" s="12" t="n">
        <v>74</v>
      </c>
      <c r="S5620" s="12" t="inlineStr">
        <is>
          <t>Surface</t>
        </is>
      </c>
      <c r="T5620" s="15" t="n">
        <v>41</v>
      </c>
      <c r="U5620" s="15" t="n">
        <v>27</v>
      </c>
      <c r="V5620" s="15">
        <f>ROUNDUP((T5620+U5620+2*'Read Me'!$B$13)*(1+'Read Me'!$B$12),-1)</f>
        <v/>
      </c>
      <c r="W5620" s="15">
        <f>V5620*N5620*O5620</f>
        <v/>
      </c>
      <c r="X5620" s="12">
        <f>IF(LEFT(I5620,2)="MV",2*N5620*IF(L5620="1/C",O5620,1),0)</f>
        <v/>
      </c>
      <c r="Y5620" s="12">
        <f>IF(OR(LEFT(K5620,4)="LVAX",LEFT(K5620,6)="MV15AX",LEFT(K5620,4)="CTAX",LEFT(K5620,2)="W|"),2*N5620*O5620,0)</f>
        <v/>
      </c>
      <c r="Z5620" s="12" t="inlineStr">
        <is>
          <t>1 set per phase</t>
        </is>
      </c>
      <c r="AA5620" s="12">
        <f>N5620*O5620</f>
        <v/>
      </c>
    </row>
    <row r="5621">
      <c r="A5621" s="12" t="inlineStr">
        <is>
          <t>I-MV-0080</t>
        </is>
      </c>
      <c r="B5621" s="12" t="inlineStr">
        <is>
          <t>I</t>
        </is>
      </c>
      <c r="C5621" s="12" t="inlineStr">
        <is>
          <t>Modular / portable power</t>
        </is>
      </c>
      <c r="D5621" s="12" t="inlineStr">
        <is>
          <t>PK-GT1 zigzag grounding transformer, SWG-PK bus A</t>
        </is>
      </c>
      <c r="E5621" s="12" t="inlineStr">
        <is>
          <t>SWG-PK</t>
        </is>
      </c>
      <c r="F5621" s="12" t="inlineStr">
        <is>
          <t>SWG-PK: 34.5 kV park collector switchgear (2 bus sections, tie; 8 feed</t>
        </is>
      </c>
      <c r="G5621" s="12" t="inlineStr">
        <is>
          <t>PK-GT1</t>
        </is>
      </c>
      <c r="H5621" s="12" t="inlineStr">
        <is>
          <t>PK-GT1: 34.5 kV zigzag grounding transformer, SWG-PK bus A</t>
        </is>
      </c>
      <c r="I5621" s="12" t="inlineStr">
        <is>
          <t>MV 35 kV</t>
        </is>
      </c>
      <c r="J5621" s="12" t="inlineStr">
        <is>
          <t>MV-105 35 kV 1/C Al, EPR 133%, 1/3 concentric neutral, LLDPE jacket</t>
        </is>
      </c>
      <c r="K5621" s="12" t="inlineStr">
        <is>
          <t>MV35|1/C|2</t>
        </is>
      </c>
      <c r="L5621" s="12" t="inlineStr">
        <is>
          <t>1/C</t>
        </is>
      </c>
      <c r="M5621" s="12" t="inlineStr">
        <is>
          <t>2</t>
        </is>
      </c>
      <c r="N5621" s="12" t="n">
        <v>1</v>
      </c>
      <c r="O5621" s="12" t="n">
        <v>3</v>
      </c>
      <c r="P5621" s="12" t="n">
        <v>34500</v>
      </c>
      <c r="Q5621" s="12" t="n">
        <v>300</v>
      </c>
      <c r="R5621" s="12" t="n">
        <v>5</v>
      </c>
      <c r="S5621" s="12" t="inlineStr">
        <is>
          <t>Duct bank</t>
        </is>
      </c>
      <c r="T5621" s="15" t="n">
        <v>60</v>
      </c>
      <c r="U5621" s="15" t="n">
        <v>38</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I-MV-0081</t>
        </is>
      </c>
      <c r="B5622" s="12" t="inlineStr">
        <is>
          <t>I</t>
        </is>
      </c>
      <c r="C5622" s="12" t="inlineStr">
        <is>
          <t>Modular / portable power</t>
        </is>
      </c>
      <c r="D5622" s="12" t="inlineStr">
        <is>
          <t>PK-GT2 zigzag grounding transformer, SWG-PK bus B</t>
        </is>
      </c>
      <c r="E5622" s="12" t="inlineStr">
        <is>
          <t>SWG-PK</t>
        </is>
      </c>
      <c r="F5622" s="12" t="inlineStr">
        <is>
          <t>SWG-PK: 34.5 kV park collector switchgear (2 bus sections, tie; 8 feed</t>
        </is>
      </c>
      <c r="G5622" s="12" t="inlineStr">
        <is>
          <t>PK-GT2</t>
        </is>
      </c>
      <c r="H5622" s="12" t="inlineStr">
        <is>
          <t>PK-GT2: 34.5 kV zigzag grounding transformer, SWG-PK bus B</t>
        </is>
      </c>
      <c r="I5622" s="12" t="inlineStr">
        <is>
          <t>MV 35 kV</t>
        </is>
      </c>
      <c r="J5622" s="12" t="inlineStr">
        <is>
          <t>MV-105 35 kV 1/C Al, EPR 133%, 1/3 concentric neutral, LLDPE jacket</t>
        </is>
      </c>
      <c r="K5622" s="12" t="inlineStr">
        <is>
          <t>MV35|1/C|2</t>
        </is>
      </c>
      <c r="L5622" s="12" t="inlineStr">
        <is>
          <t>1/C</t>
        </is>
      </c>
      <c r="M5622" s="12" t="inlineStr">
        <is>
          <t>2</t>
        </is>
      </c>
      <c r="N5622" s="12" t="n">
        <v>1</v>
      </c>
      <c r="O5622" s="12" t="n">
        <v>3</v>
      </c>
      <c r="P5622" s="12" t="n">
        <v>34500</v>
      </c>
      <c r="Q5622" s="12" t="n">
        <v>300</v>
      </c>
      <c r="R5622" s="12" t="n">
        <v>5</v>
      </c>
      <c r="S5622" s="12" t="inlineStr">
        <is>
          <t>Duct bank</t>
        </is>
      </c>
      <c r="T5622" s="15" t="n">
        <v>72</v>
      </c>
      <c r="U5622" s="15" t="n">
        <v>42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I-MV-0082</t>
        </is>
      </c>
      <c r="B5623" s="12" t="inlineStr">
        <is>
          <t>I</t>
        </is>
      </c>
      <c r="C5623" s="12" t="inlineStr">
        <is>
          <t>Modular / portable power</t>
        </is>
      </c>
      <c r="D5623" s="12" t="inlineStr">
        <is>
          <t>L3 35 kV collector loop, segment 5 of 5 (GBT-4 to SWG-MY)</t>
        </is>
      </c>
      <c r="E5623" s="12" t="inlineStr">
        <is>
          <t>GBT-4</t>
        </is>
      </c>
      <c r="F5623" s="12" t="inlineStr">
        <is>
          <t>GBT-4: block GB-4 step-up 480 V : 34.5 kV, ~3 MVA pad-mount (on the 35</t>
        </is>
      </c>
      <c r="G5623" s="12" t="inlineStr">
        <is>
          <t>SWG-MY</t>
        </is>
      </c>
      <c r="H5623" s="12" t="inlineStr">
        <is>
          <t xml:space="preserve">SWG-MY: 35 kV switchgear lineup for the modular blocks (group breaker </t>
        </is>
      </c>
      <c r="I5623" s="12" t="inlineStr">
        <is>
          <t>MV 35 kV</t>
        </is>
      </c>
      <c r="J5623" s="12" t="inlineStr">
        <is>
          <t>MV-105 35 kV 1/C Al, EPR 133%, 1/3 concentric neutral, LLDPE jacket</t>
        </is>
      </c>
      <c r="K5623" s="12" t="inlineStr">
        <is>
          <t>MV35|1/C|750</t>
        </is>
      </c>
      <c r="L5623" s="12" t="inlineStr">
        <is>
          <t>1/C</t>
        </is>
      </c>
      <c r="M5623" s="12" t="inlineStr">
        <is>
          <t>750 kcmil</t>
        </is>
      </c>
      <c r="N5623" s="12" t="n">
        <v>1</v>
      </c>
      <c r="O5623" s="12" t="n">
        <v>3</v>
      </c>
      <c r="P5623" s="12" t="n">
        <v>34500</v>
      </c>
      <c r="Q5623" s="12" t="n">
        <v>10000</v>
      </c>
      <c r="R5623" s="12" t="n">
        <v>167</v>
      </c>
      <c r="S5623" s="12" t="inlineStr">
        <is>
          <t>Duct bank</t>
        </is>
      </c>
      <c r="T5623" s="15" t="n">
        <v>181</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is>
          <t>loop conductor 750 kcmil Al, 133 % (WORKING ASSUMPTION)</t>
        </is>
      </c>
      <c r="AA5623" s="12">
        <f>N5623*O5623</f>
        <v/>
      </c>
    </row>
    <row r="5624">
      <c r="A5624" s="12" t="inlineStr">
        <is>
          <t>I-MV-0083</t>
        </is>
      </c>
      <c r="B5624" s="12" t="inlineStr">
        <is>
          <t>I</t>
        </is>
      </c>
      <c r="C5624" s="12" t="inlineStr">
        <is>
          <t>Modular / portable power</t>
        </is>
      </c>
      <c r="D5624" s="12" t="inlineStr">
        <is>
          <t>L5 SWG-MY feeder to the data centre 34.5 kV switchgear BTM-SWGR, to the fence (scope owner TO VERIFY)</t>
        </is>
      </c>
      <c r="E5624" s="12" t="inlineStr">
        <is>
          <t>SWG-MY</t>
        </is>
      </c>
      <c r="F5624" s="12" t="inlineStr">
        <is>
          <t xml:space="preserve">SWG-MY: 35 kV switchgear lineup for the modular blocks (group breaker </t>
        </is>
      </c>
      <c r="G5624" s="12" t="inlineStr">
        <is>
          <t>SWG-MY</t>
        </is>
      </c>
      <c r="H5624" s="12" t="inlineStr">
        <is>
          <t xml:space="preserve">SWG-MY: 35 kV switchgear lineup for the modular blocks (group breaker </t>
        </is>
      </c>
      <c r="I5624" s="12" t="inlineStr">
        <is>
          <t>MV 35 kV</t>
        </is>
      </c>
      <c r="J5624" s="12" t="inlineStr">
        <is>
          <t>MV-105 35 kV 1/C Al, EPR 133%, 1/3 concentric neutral, LLDPE jacket</t>
        </is>
      </c>
      <c r="K5624" s="12" t="inlineStr">
        <is>
          <t>MV35|1/C|750</t>
        </is>
      </c>
      <c r="L5624" s="12" t="inlineStr">
        <is>
          <t>1/C</t>
        </is>
      </c>
      <c r="M5624" s="12" t="inlineStr">
        <is>
          <t>750 kcmil</t>
        </is>
      </c>
      <c r="N5624" s="12" t="n">
        <v>1</v>
      </c>
      <c r="O5624" s="12" t="n">
        <v>3</v>
      </c>
      <c r="P5624" s="12" t="n">
        <v>34500</v>
      </c>
      <c r="Q5624" s="12" t="n">
        <v>10000</v>
      </c>
      <c r="R5624" s="12" t="n">
        <v>167</v>
      </c>
      <c r="S5624" s="12" t="inlineStr">
        <is>
          <t>Buried</t>
        </is>
      </c>
      <c r="T5624" s="15" t="n">
        <v>585</v>
      </c>
      <c r="U5624" s="15" t="n">
        <v>20</v>
      </c>
      <c r="V5624" s="15">
        <f>ROUNDUP((T5624+U5624+2*'Read Me'!$B$13)*(1+'Read Me'!$B$12),-1)</f>
        <v/>
      </c>
      <c r="W5624" s="15">
        <f>V5624*N5624*O5624</f>
        <v/>
      </c>
      <c r="X5624" s="12">
        <f>IF(LEFT(I5624,2)="MV",2*N5624*IF(L5624="1/C",O5624,1),0)</f>
        <v/>
      </c>
      <c r="Y5624" s="12">
        <f>IF(OR(LEFT(K5624,4)="LVAX",LEFT(K5624,6)="MV15AX",LEFT(K5624,4)="CTAX",LEFT(K5624,2)="W|"),2*N5624*O5624,0)</f>
        <v/>
      </c>
      <c r="Z5624" s="12" t="inlineStr">
        <is>
          <t>to the fence 585 ft; + ~120 ft beyond to BTM-SWGR (data-centre scope)</t>
        </is>
      </c>
      <c r="AA5624" s="12">
        <f>N5624*O5624</f>
        <v/>
      </c>
    </row>
    <row r="5625">
      <c r="A5625" s="12" t="inlineStr">
        <is>
          <t>I-MV-0084</t>
        </is>
      </c>
      <c r="B5625" s="12" t="inlineStr">
        <is>
          <t>I</t>
        </is>
      </c>
      <c r="C5625" s="12" t="inlineStr">
        <is>
          <t>Modular / portable power</t>
        </is>
      </c>
      <c r="D5625" s="12" t="inlineStr">
        <is>
          <t>TGF-GSU 34.5 kV collector feeder to SWG-PK (bus A)</t>
        </is>
      </c>
      <c r="E5625" s="12" t="inlineStr">
        <is>
          <t>TGF-GSU</t>
        </is>
      </c>
      <c r="F5625" s="12" t="inlineStr">
        <is>
          <t>TGF-GSU: 13.8 / 34.5 kV step-up, ~20 MVA (trailer fleet)</t>
        </is>
      </c>
      <c r="G5625" s="12" t="inlineStr">
        <is>
          <t>SWG-PK</t>
        </is>
      </c>
      <c r="H5625" s="12" t="inlineStr">
        <is>
          <t>SWG-PK: 34.5 kV park collector switchgear (2 bus sections, tie; 8 feed</t>
        </is>
      </c>
      <c r="I5625" s="12" t="inlineStr">
        <is>
          <t>MV 35 kV</t>
        </is>
      </c>
      <c r="J5625" s="12" t="inlineStr">
        <is>
          <t>MV-105 35 kV 1/C Al, EPR 133%, 1/3 concentric neutral, LLDPE jacket</t>
        </is>
      </c>
      <c r="K5625" s="12" t="inlineStr">
        <is>
          <t>MV35|1/C|500</t>
        </is>
      </c>
      <c r="L5625" s="12" t="inlineStr">
        <is>
          <t>1/C</t>
        </is>
      </c>
      <c r="M5625" s="12" t="inlineStr">
        <is>
          <t>500 kcmil</t>
        </is>
      </c>
      <c r="N5625" s="12" t="n">
        <v>1</v>
      </c>
      <c r="O5625" s="12" t="n">
        <v>3</v>
      </c>
      <c r="P5625" s="12" t="n">
        <v>34500</v>
      </c>
      <c r="Q5625" s="12" t="n">
        <v>15000</v>
      </c>
      <c r="R5625" s="12" t="n">
        <v>279</v>
      </c>
      <c r="S5625" s="12" t="inlineStr">
        <is>
          <t>Duct bank</t>
        </is>
      </c>
      <c r="T5625" s="15" t="n">
        <v>377</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is>
          <t>1 set per phase</t>
        </is>
      </c>
      <c r="AA5625" s="12">
        <f>N5625*O5625</f>
        <v/>
      </c>
    </row>
    <row r="5626">
      <c r="A5626" s="12" t="inlineStr">
        <is>
          <t>I-MV-0085</t>
        </is>
      </c>
      <c r="B5626" s="12" t="inlineStr">
        <is>
          <t>I</t>
        </is>
      </c>
      <c r="C5626" s="12" t="inlineStr">
        <is>
          <t>Modular / portable power</t>
        </is>
      </c>
      <c r="D5626" s="12" t="inlineStr">
        <is>
          <t>CGE-GSU 34.5 kV collector feeder to SWG-PK (bus A)</t>
        </is>
      </c>
      <c r="E5626" s="12" t="inlineStr">
        <is>
          <t>CGE-GSU</t>
        </is>
      </c>
      <c r="F5626" s="12" t="inlineStr">
        <is>
          <t>CGE-GSU: 13.8 / 34.5 kV step-up, ~20 MVA (containerized engines)</t>
        </is>
      </c>
      <c r="G5626" s="12" t="inlineStr">
        <is>
          <t>SWG-PK</t>
        </is>
      </c>
      <c r="H5626" s="12" t="inlineStr">
        <is>
          <t>SWG-PK: 34.5 kV park collector switchgear (2 bus sections, tie; 8 feed</t>
        </is>
      </c>
      <c r="I5626" s="12" t="inlineStr">
        <is>
          <t>MV 35 kV</t>
        </is>
      </c>
      <c r="J5626" s="12" t="inlineStr">
        <is>
          <t>MV-105 35 kV 1/C Al, EPR 133%, 1/3 concentric neutral, LLDPE jacket</t>
        </is>
      </c>
      <c r="K5626" s="12" t="inlineStr">
        <is>
          <t>MV35|1/C|750</t>
        </is>
      </c>
      <c r="L5626" s="12" t="inlineStr">
        <is>
          <t>1/C</t>
        </is>
      </c>
      <c r="M5626" s="12" t="inlineStr">
        <is>
          <t>750 kcmil</t>
        </is>
      </c>
      <c r="N5626" s="12" t="n">
        <v>1</v>
      </c>
      <c r="O5626" s="12" t="n">
        <v>3</v>
      </c>
      <c r="P5626" s="12" t="n">
        <v>34500</v>
      </c>
      <c r="Q5626" s="12" t="n">
        <v>17600</v>
      </c>
      <c r="R5626" s="12" t="n">
        <v>327</v>
      </c>
      <c r="S5626" s="12" t="inlineStr">
        <is>
          <t>Duct bank</t>
        </is>
      </c>
      <c r="T5626" s="15" t="n">
        <v>471</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is>
          <t>1 set per phase</t>
        </is>
      </c>
      <c r="AA5626" s="12">
        <f>N5626*O5626</f>
        <v/>
      </c>
    </row>
    <row r="5627">
      <c r="A5627" s="12" t="inlineStr">
        <is>
          <t>I-MV-0086</t>
        </is>
      </c>
      <c r="B5627" s="12" t="inlineStr">
        <is>
          <t>I</t>
        </is>
      </c>
      <c r="C5627" s="12" t="inlineStr">
        <is>
          <t>Modular / portable power</t>
        </is>
      </c>
      <c r="D5627" s="12" t="inlineStr">
        <is>
          <t>PGS-TX2 34.5 kV collector feeder to SWG-PK (bus A)</t>
        </is>
      </c>
      <c r="E5627" s="12" t="inlineStr">
        <is>
          <t>PGS-TX2</t>
        </is>
      </c>
      <c r="F5627" s="12" t="inlineStr">
        <is>
          <t>PGS-TX2: 480 V : 34.5 kV, ~5 MVA loop-feed pad-mount (gensets 5-8)</t>
        </is>
      </c>
      <c r="G5627" s="12" t="inlineStr">
        <is>
          <t>SWG-PK</t>
        </is>
      </c>
      <c r="H5627" s="12" t="inlineStr">
        <is>
          <t>SWG-PK: 34.5 kV park collector switchgear (2 bus sections, tie; 8 feed</t>
        </is>
      </c>
      <c r="I5627" s="12" t="inlineStr">
        <is>
          <t>MV 35 kV</t>
        </is>
      </c>
      <c r="J5627" s="12" t="inlineStr">
        <is>
          <t>MV-105 35 kV 1/C Al, EPR 133%, 1/3 concentric neutral, LLDPE jacket</t>
        </is>
      </c>
      <c r="K5627" s="12" t="inlineStr">
        <is>
          <t>MV35|1/C|4/0</t>
        </is>
      </c>
      <c r="L5627" s="12" t="inlineStr">
        <is>
          <t>1/C</t>
        </is>
      </c>
      <c r="M5627" s="12" t="inlineStr">
        <is>
          <t>4/0</t>
        </is>
      </c>
      <c r="N5627" s="12" t="n">
        <v>1</v>
      </c>
      <c r="O5627" s="12" t="n">
        <v>3</v>
      </c>
      <c r="P5627" s="12" t="n">
        <v>34500</v>
      </c>
      <c r="Q5627" s="12" t="n">
        <v>8000</v>
      </c>
      <c r="R5627" s="12" t="n">
        <v>149</v>
      </c>
      <c r="S5627" s="12" t="inlineStr">
        <is>
          <t>Duct bank</t>
        </is>
      </c>
      <c r="T5627" s="15" t="n">
        <v>452</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is>
          <t>1 set per phase</t>
        </is>
      </c>
      <c r="AA5627" s="12">
        <f>N5627*O5627</f>
        <v/>
      </c>
    </row>
    <row r="5628">
      <c r="A5628" s="12" t="inlineStr">
        <is>
          <t>I-MV-0087</t>
        </is>
      </c>
      <c r="B5628" s="12" t="inlineStr">
        <is>
          <t>I</t>
        </is>
      </c>
      <c r="C5628" s="12" t="inlineStr">
        <is>
          <t>Modular / portable power</t>
        </is>
      </c>
      <c r="D5628" s="12" t="inlineStr">
        <is>
          <t>MTG-GSU 34.5 kV collector feeder to SWG-PK (bus B)</t>
        </is>
      </c>
      <c r="E5628" s="12" t="inlineStr">
        <is>
          <t>MTG-GSU</t>
        </is>
      </c>
      <c r="F5628" s="12" t="inlineStr">
        <is>
          <t>MTG-GSU: 13.8 / 34.5 kV step-up, ~40 MVA (mid-size turbines)</t>
        </is>
      </c>
      <c r="G5628" s="12" t="inlineStr">
        <is>
          <t>SWG-PK</t>
        </is>
      </c>
      <c r="H5628" s="12" t="inlineStr">
        <is>
          <t>SWG-PK: 34.5 kV park collector switchgear (2 bus sections, tie; 8 feed</t>
        </is>
      </c>
      <c r="I5628" s="12" t="inlineStr">
        <is>
          <t>MV 35 kV</t>
        </is>
      </c>
      <c r="J5628" s="12" t="inlineStr">
        <is>
          <t>MV-105 35 kV 1/C Al, EPR 133%, 1/3 concentric neutral, LLDPE jacket</t>
        </is>
      </c>
      <c r="K5628" s="12" t="inlineStr">
        <is>
          <t>MV35|1/C|750</t>
        </is>
      </c>
      <c r="L5628" s="12" t="inlineStr">
        <is>
          <t>1/C</t>
        </is>
      </c>
      <c r="M5628" s="12" t="inlineStr">
        <is>
          <t>750 kcmil</t>
        </is>
      </c>
      <c r="N5628" s="12" t="n">
        <v>2</v>
      </c>
      <c r="O5628" s="12" t="n">
        <v>3</v>
      </c>
      <c r="P5628" s="12" t="n">
        <v>34500</v>
      </c>
      <c r="Q5628" s="12" t="n">
        <v>32000</v>
      </c>
      <c r="R5628" s="12" t="n">
        <v>595</v>
      </c>
      <c r="S5628" s="12" t="inlineStr">
        <is>
          <t>Duct bank</t>
        </is>
      </c>
      <c r="T5628" s="15" t="n">
        <v>189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is>
          <t>2 sets per phase</t>
        </is>
      </c>
      <c r="AA5628" s="12">
        <f>N5628*O5628</f>
        <v/>
      </c>
    </row>
    <row r="5629">
      <c r="A5629" s="12" t="inlineStr">
        <is>
          <t>I-MV-0088</t>
        </is>
      </c>
      <c r="B5629" s="12" t="inlineStr">
        <is>
          <t>I</t>
        </is>
      </c>
      <c r="C5629" s="12" t="inlineStr">
        <is>
          <t>Modular / portable power</t>
        </is>
      </c>
      <c r="D5629" s="12" t="inlineStr">
        <is>
          <t>PAD-GSU 34.5 kV collector feeder to SWG-PK (bus A)</t>
        </is>
      </c>
      <c r="E5629" s="12" t="inlineStr">
        <is>
          <t>PAD-GSU</t>
        </is>
      </c>
      <c r="F5629" s="12" t="inlineStr">
        <is>
          <t>PAD-GSU: 13.8 / 34.5 kV step-up, ~60 MVA (PAD-EH: TM-1, CHP site, MT-T</t>
        </is>
      </c>
      <c r="G5629" s="12" t="inlineStr">
        <is>
          <t>SWG-PK</t>
        </is>
      </c>
      <c r="H5629" s="12" t="inlineStr">
        <is>
          <t>SWG-PK: 34.5 kV park collector switchgear (2 bus sections, tie; 8 feed</t>
        </is>
      </c>
      <c r="I5629" s="12" t="inlineStr">
        <is>
          <t>MV 35 kV</t>
        </is>
      </c>
      <c r="J5629" s="12" t="inlineStr">
        <is>
          <t>MV-105 35 kV 1/C Al, EPR 133%, 1/3 concentric neutral, LLDPE jacket</t>
        </is>
      </c>
      <c r="K5629" s="12" t="inlineStr">
        <is>
          <t>MV35|1/C|750</t>
        </is>
      </c>
      <c r="L5629" s="12" t="inlineStr">
        <is>
          <t>1/C</t>
        </is>
      </c>
      <c r="M5629" s="12" t="inlineStr">
        <is>
          <t>750 kcmil</t>
        </is>
      </c>
      <c r="N5629" s="12" t="n">
        <v>3</v>
      </c>
      <c r="O5629" s="12" t="n">
        <v>3</v>
      </c>
      <c r="P5629" s="12" t="n">
        <v>34500</v>
      </c>
      <c r="Q5629" s="12" t="n">
        <v>52000</v>
      </c>
      <c r="R5629" s="12" t="n">
        <v>967</v>
      </c>
      <c r="S5629" s="12" t="inlineStr">
        <is>
          <t>Duct bank</t>
        </is>
      </c>
      <c r="T5629" s="15" t="n">
        <v>445</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is>
          <t>3 sets per phase</t>
        </is>
      </c>
      <c r="AA5629" s="12">
        <f>N5629*O5629</f>
        <v/>
      </c>
    </row>
    <row r="5630">
      <c r="A5630" s="12" t="inlineStr">
        <is>
          <t>I-MV-0089</t>
        </is>
      </c>
      <c r="B5630" s="12" t="inlineStr">
        <is>
          <t>I</t>
        </is>
      </c>
      <c r="C5630" s="12" t="inlineStr">
        <is>
          <t>Modular / portable power</t>
        </is>
      </c>
      <c r="D5630" s="12" t="inlineStr">
        <is>
          <t>AX-GSU 34.5 kV collector feeder to SWG-PK (bus B)</t>
        </is>
      </c>
      <c r="E5630" s="12" t="inlineStr">
        <is>
          <t>AX-GSU</t>
        </is>
      </c>
      <c r="F5630" s="12" t="inlineStr">
        <is>
          <t>AX-GSU: 13.8 / 34.5 kV step-up, ~45 MVA (AX-1 unit step-up)</t>
        </is>
      </c>
      <c r="G5630" s="12" t="inlineStr">
        <is>
          <t>SWG-PK</t>
        </is>
      </c>
      <c r="H5630" s="12" t="inlineStr">
        <is>
          <t>SWG-PK: 34.5 kV park collector switchgear (2 bus sections, tie; 8 feed</t>
        </is>
      </c>
      <c r="I5630" s="12" t="inlineStr">
        <is>
          <t>MV 35 kV</t>
        </is>
      </c>
      <c r="J5630" s="12" t="inlineStr">
        <is>
          <t>MV-105 35 kV 1/C Al, EPR 133%, 1/3 concentric neutral, LLDPE jacket</t>
        </is>
      </c>
      <c r="K5630" s="12" t="inlineStr">
        <is>
          <t>MV35|1/C|750</t>
        </is>
      </c>
      <c r="L5630" s="12" t="inlineStr">
        <is>
          <t>1/C</t>
        </is>
      </c>
      <c r="M5630" s="12" t="inlineStr">
        <is>
          <t>750 kcmil</t>
        </is>
      </c>
      <c r="N5630" s="12" t="n">
        <v>2</v>
      </c>
      <c r="O5630" s="12" t="n">
        <v>3</v>
      </c>
      <c r="P5630" s="12" t="n">
        <v>34500</v>
      </c>
      <c r="Q5630" s="12" t="n">
        <v>35000</v>
      </c>
      <c r="R5630" s="12" t="n">
        <v>651</v>
      </c>
      <c r="S5630" s="12" t="inlineStr">
        <is>
          <t>Duct bank</t>
        </is>
      </c>
      <c r="T5630" s="15" t="n">
        <v>257</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is>
          <t>2 sets per phase</t>
        </is>
      </c>
      <c r="AA5630" s="12">
        <f>N5630*O5630</f>
        <v/>
      </c>
    </row>
    <row r="5631">
      <c r="A5631" s="12" t="inlineStr">
        <is>
          <t>I-MV-0090</t>
        </is>
      </c>
      <c r="B5631" s="12" t="inlineStr">
        <is>
          <t>I</t>
        </is>
      </c>
      <c r="C5631" s="12" t="inlineStr">
        <is>
          <t>Modular / portable power</t>
        </is>
      </c>
      <c r="D5631" s="12" t="inlineStr">
        <is>
          <t>IG-GSU 34.5 kV collector feeder to SWG-PK (bus B)</t>
        </is>
      </c>
      <c r="E5631" s="12" t="inlineStr">
        <is>
          <t>IG-GSU</t>
        </is>
      </c>
      <c r="F5631" s="12" t="inlineStr">
        <is>
          <t>IG-GSU: 13.8 / 34.5 kV step-up, ~60 MVA (IG-1 unit step-up)</t>
        </is>
      </c>
      <c r="G5631" s="12" t="inlineStr">
        <is>
          <t>SWG-PK</t>
        </is>
      </c>
      <c r="H5631" s="12" t="inlineStr">
        <is>
          <t>SWG-PK: 34.5 kV park collector switchgear (2 bus sections, tie; 8 feed</t>
        </is>
      </c>
      <c r="I5631" s="12" t="inlineStr">
        <is>
          <t>MV 35 kV</t>
        </is>
      </c>
      <c r="J5631" s="12" t="inlineStr">
        <is>
          <t>MV-105 35 kV 1/C Al, EPR 133%, 1/3 concentric neutral, LLDPE jacket</t>
        </is>
      </c>
      <c r="K5631" s="12" t="inlineStr">
        <is>
          <t>MV35|1/C|750</t>
        </is>
      </c>
      <c r="L5631" s="12" t="inlineStr">
        <is>
          <t>1/C</t>
        </is>
      </c>
      <c r="M5631" s="12" t="inlineStr">
        <is>
          <t>750 kcmil</t>
        </is>
      </c>
      <c r="N5631" s="12" t="n">
        <v>3</v>
      </c>
      <c r="O5631" s="12" t="n">
        <v>3</v>
      </c>
      <c r="P5631" s="12" t="n">
        <v>34500</v>
      </c>
      <c r="Q5631" s="12" t="n">
        <v>50000</v>
      </c>
      <c r="R5631" s="12" t="n">
        <v>930</v>
      </c>
      <c r="S5631" s="12" t="inlineStr">
        <is>
          <t>Duct bank</t>
        </is>
      </c>
      <c r="T5631" s="15" t="n">
        <v>126</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is>
          <t>3 sets per phase</t>
        </is>
      </c>
      <c r="AA5631" s="12">
        <f>N5631*O5631</f>
        <v/>
      </c>
    </row>
    <row r="5632">
      <c r="A5632" s="12" t="inlineStr">
        <is>
          <t>I-MV-0091</t>
        </is>
      </c>
      <c r="B5632" s="12" t="inlineStr">
        <is>
          <t>I</t>
        </is>
      </c>
      <c r="C5632" s="12" t="inlineStr">
        <is>
          <t>Modular / portable power</t>
        </is>
      </c>
      <c r="D5632" s="12" t="inlineStr">
        <is>
          <t>MOD-EH bus 1 main to T-MOD-1 34.5 kV</t>
        </is>
      </c>
      <c r="E5632" s="12" t="inlineStr">
        <is>
          <t>MOD-EH</t>
        </is>
      </c>
      <c r="F5632" s="12" t="inlineStr">
        <is>
          <t>MOD-EH: 34.5 kV modular collector e-house (2 bus sections + 13.8 kV st</t>
        </is>
      </c>
      <c r="G5632" s="12" t="inlineStr">
        <is>
          <t>T-MOD-1</t>
        </is>
      </c>
      <c r="H5632" s="12" t="inlineStr">
        <is>
          <t>T-MOD-1: 230 / 34.5 kV</t>
        </is>
      </c>
      <c r="I5632" s="12" t="inlineStr">
        <is>
          <t>MV 35 kV</t>
        </is>
      </c>
      <c r="J5632" s="12" t="inlineStr">
        <is>
          <t>MV-105 35 kV 1/C Al, EPR 133%, 1/3 concentric neutral, LLDPE jacket</t>
        </is>
      </c>
      <c r="K5632" s="12" t="inlineStr">
        <is>
          <t>MV35|1/C|1000</t>
        </is>
      </c>
      <c r="L5632" s="12" t="inlineStr">
        <is>
          <t>1/C</t>
        </is>
      </c>
      <c r="M5632" s="12" t="inlineStr">
        <is>
          <t>1000 kcmil</t>
        </is>
      </c>
      <c r="N5632" s="12" t="n">
        <v>6</v>
      </c>
      <c r="O5632" s="12" t="n">
        <v>3</v>
      </c>
      <c r="P5632" s="12" t="n">
        <v>34500</v>
      </c>
      <c r="Q5632" s="12" t="n">
        <v>123600</v>
      </c>
      <c r="R5632" s="12" t="n">
        <v>2298</v>
      </c>
      <c r="S5632" s="12" t="inlineStr">
        <is>
          <t>Duct bank</t>
        </is>
      </c>
      <c r="T5632" s="15" t="n">
        <v>50</v>
      </c>
      <c r="U5632" s="15" t="n">
        <v>20</v>
      </c>
      <c r="V5632" s="15">
        <f>ROUNDUP((T5632+U5632+2*'Read Me'!$B$13)*(1+'Read Me'!$B$12),-1)</f>
        <v/>
      </c>
      <c r="W5632" s="15">
        <f>V5632*N5632*O5632</f>
        <v/>
      </c>
      <c r="X5632" s="12">
        <f>IF(LEFT(I5632,2)="MV",2*N5632*IF(L5632="1/C",O5632,1),0)</f>
        <v/>
      </c>
      <c r="Y5632" s="12">
        <f>IF(OR(LEFT(K5632,4)="LVAX",LEFT(K5632,6)="MV15AX",LEFT(K5632,4)="CTAX",LEFT(K5632,2)="W|"),2*N5632*O5632,0)</f>
        <v/>
      </c>
      <c r="Z5632" s="12" t="inlineStr">
        <is>
          <t>6 sets per phase</t>
        </is>
      </c>
      <c r="AA5632" s="12">
        <f>N5632*O5632</f>
        <v/>
      </c>
    </row>
    <row r="5633">
      <c r="A5633" s="12" t="inlineStr">
        <is>
          <t>I-MV-0092</t>
        </is>
      </c>
      <c r="B5633" s="12" t="inlineStr">
        <is>
          <t>I</t>
        </is>
      </c>
      <c r="C5633" s="12" t="inlineStr">
        <is>
          <t>Modular / portable power</t>
        </is>
      </c>
      <c r="D5633" s="12" t="inlineStr">
        <is>
          <t>MOD-EH bus 2 main to T-MOD-2 34.5 kV</t>
        </is>
      </c>
      <c r="E5633" s="12" t="inlineStr">
        <is>
          <t>MOD-EH</t>
        </is>
      </c>
      <c r="F5633" s="12" t="inlineStr">
        <is>
          <t>MOD-EH: 34.5 kV modular collector e-house (2 bus sections + 13.8 kV st</t>
        </is>
      </c>
      <c r="G5633" s="12" t="inlineStr">
        <is>
          <t>T-MOD-2</t>
        </is>
      </c>
      <c r="H5633" s="12" t="inlineStr">
        <is>
          <t>T-MOD-2: 230 / 34.5 kV</t>
        </is>
      </c>
      <c r="I5633" s="12" t="inlineStr">
        <is>
          <t>MV 35 kV</t>
        </is>
      </c>
      <c r="J5633" s="12" t="inlineStr">
        <is>
          <t>MV-105 35 kV 1/C Al, EPR 133%, 1/3 concentric neutral, LLDPE jacket</t>
        </is>
      </c>
      <c r="K5633" s="12" t="inlineStr">
        <is>
          <t>MV35|1/C|1000</t>
        </is>
      </c>
      <c r="L5633" s="12" t="inlineStr">
        <is>
          <t>1/C</t>
        </is>
      </c>
      <c r="M5633" s="12" t="inlineStr">
        <is>
          <t>1000 kcmil</t>
        </is>
      </c>
      <c r="N5633" s="12" t="n">
        <v>6</v>
      </c>
      <c r="O5633" s="12" t="n">
        <v>3</v>
      </c>
      <c r="P5633" s="12" t="n">
        <v>34500</v>
      </c>
      <c r="Q5633" s="12" t="n">
        <v>123600</v>
      </c>
      <c r="R5633" s="12" t="n">
        <v>2298</v>
      </c>
      <c r="S5633" s="12" t="inlineStr">
        <is>
          <t>Duct bank</t>
        </is>
      </c>
      <c r="T5633" s="15" t="n">
        <v>153</v>
      </c>
      <c r="U5633" s="15" t="n">
        <v>20</v>
      </c>
      <c r="V5633" s="15">
        <f>ROUNDUP((T5633+U5633+2*'Read Me'!$B$13)*(1+'Read Me'!$B$12),-1)</f>
        <v/>
      </c>
      <c r="W5633" s="15">
        <f>V5633*N5633*O5633</f>
        <v/>
      </c>
      <c r="X5633" s="12">
        <f>IF(LEFT(I5633,2)="MV",2*N5633*IF(L5633="1/C",O5633,1),0)</f>
        <v/>
      </c>
      <c r="Y5633" s="12">
        <f>IF(OR(LEFT(K5633,4)="LVAX",LEFT(K5633,6)="MV15AX",LEFT(K5633,4)="CTAX",LEFT(K5633,2)="W|"),2*N5633*O5633,0)</f>
        <v/>
      </c>
      <c r="Z5633" s="12" t="inlineStr">
        <is>
          <t>6 sets per phase</t>
        </is>
      </c>
      <c r="AA5633" s="12">
        <f>N5633*O5633</f>
        <v/>
      </c>
    </row>
    <row r="5634">
      <c r="A5634" s="12" t="inlineStr">
        <is>
          <t>I-MV-0093</t>
        </is>
      </c>
      <c r="B5634" s="12" t="inlineStr">
        <is>
          <t>I</t>
        </is>
      </c>
      <c r="C5634" s="12" t="inlineStr">
        <is>
          <t>Modular / portable power</t>
        </is>
      </c>
      <c r="D5634" s="12" t="inlineStr">
        <is>
          <t>SWG-PK bus A main to T-MOD-3 LV winding 1</t>
        </is>
      </c>
      <c r="E5634" s="12" t="inlineStr">
        <is>
          <t>SWG-PK</t>
        </is>
      </c>
      <c r="F5634" s="12" t="inlineStr">
        <is>
          <t>SWG-PK: 34.5 kV park collector switchgear (2 bus sections, tie; 8 feed</t>
        </is>
      </c>
      <c r="G5634" s="12" t="inlineStr">
        <is>
          <t>T-MOD-3</t>
        </is>
      </c>
      <c r="H5634" s="12" t="inlineStr">
        <is>
          <t>T-MOD-3: 230 / 34.5 / 34.5 kV, ~250 MVA three-winding (power park coll</t>
        </is>
      </c>
      <c r="I5634" s="12" t="inlineStr">
        <is>
          <t>MV 35 kV</t>
        </is>
      </c>
      <c r="J5634" s="12" t="inlineStr">
        <is>
          <t>MV-105 35 kV 1/C Al, EPR 133%, 1/3 concentric neutral, LLDPE jacket</t>
        </is>
      </c>
      <c r="K5634" s="12" t="inlineStr">
        <is>
          <t>MV35|1/C|750</t>
        </is>
      </c>
      <c r="L5634" s="12" t="inlineStr">
        <is>
          <t>1/C</t>
        </is>
      </c>
      <c r="M5634" s="12" t="inlineStr">
        <is>
          <t>750 kcmil</t>
        </is>
      </c>
      <c r="N5634" s="12" t="n">
        <v>5</v>
      </c>
      <c r="O5634" s="12" t="n">
        <v>3</v>
      </c>
      <c r="P5634" s="12" t="n">
        <v>34500</v>
      </c>
      <c r="Q5634" s="12" t="n">
        <v>92600</v>
      </c>
      <c r="R5634" s="12" t="n">
        <v>1722</v>
      </c>
      <c r="S5634" s="12" t="inlineStr">
        <is>
          <t>Duct bank</t>
        </is>
      </c>
      <c r="T5634" s="15" t="n">
        <v>22</v>
      </c>
      <c r="U5634" s="15" t="n">
        <v>58</v>
      </c>
      <c r="V5634" s="15">
        <f>ROUNDUP((T5634+U5634+2*'Read Me'!$B$13)*(1+'Read Me'!$B$12),-1)</f>
        <v/>
      </c>
      <c r="W5634" s="15">
        <f>V5634*N5634*O5634</f>
        <v/>
      </c>
      <c r="X5634" s="12">
        <f>IF(LEFT(I5634,2)="MV",2*N5634*IF(L5634="1/C",O5634,1),0)</f>
        <v/>
      </c>
      <c r="Y5634" s="12">
        <f>IF(OR(LEFT(K5634,4)="LVAX",LEFT(K5634,6)="MV15AX",LEFT(K5634,4)="CTAX",LEFT(K5634,2)="W|"),2*N5634*O5634,0)</f>
        <v/>
      </c>
      <c r="Z5634" s="12" t="inlineStr">
        <is>
          <t>5 sets per phase</t>
        </is>
      </c>
      <c r="AA5634" s="12">
        <f>N5634*O5634</f>
        <v/>
      </c>
    </row>
    <row r="5635">
      <c r="A5635" s="12" t="inlineStr">
        <is>
          <t>I-MV-0094</t>
        </is>
      </c>
      <c r="B5635" s="12" t="inlineStr">
        <is>
          <t>I</t>
        </is>
      </c>
      <c r="C5635" s="12" t="inlineStr">
        <is>
          <t>Modular / portable power</t>
        </is>
      </c>
      <c r="D5635" s="12" t="inlineStr">
        <is>
          <t>SWG-PK bus B main to T-MOD-3 LV winding 2</t>
        </is>
      </c>
      <c r="E5635" s="12" t="inlineStr">
        <is>
          <t>SWG-PK</t>
        </is>
      </c>
      <c r="F5635" s="12" t="inlineStr">
        <is>
          <t>SWG-PK: 34.5 kV park collector switchgear (2 bus sections, tie; 8 feed</t>
        </is>
      </c>
      <c r="G5635" s="12" t="inlineStr">
        <is>
          <t>T-MOD-3</t>
        </is>
      </c>
      <c r="H5635" s="12" t="inlineStr">
        <is>
          <t>T-MOD-3: 230 / 34.5 / 34.5 kV, ~250 MVA three-winding (power park coll</t>
        </is>
      </c>
      <c r="I5635" s="12" t="inlineStr">
        <is>
          <t>MV 35 kV</t>
        </is>
      </c>
      <c r="J5635" s="12" t="inlineStr">
        <is>
          <t>MV-105 35 kV 1/C Al, EPR 133%, 1/3 concentric neutral, LLDPE jacket</t>
        </is>
      </c>
      <c r="K5635" s="12" t="inlineStr">
        <is>
          <t>MV35|1/C|1000</t>
        </is>
      </c>
      <c r="L5635" s="12" t="inlineStr">
        <is>
          <t>1/C</t>
        </is>
      </c>
      <c r="M5635" s="12" t="inlineStr">
        <is>
          <t>1000 kcmil</t>
        </is>
      </c>
      <c r="N5635" s="12" t="n">
        <v>6</v>
      </c>
      <c r="O5635" s="12" t="n">
        <v>3</v>
      </c>
      <c r="P5635" s="12" t="n">
        <v>34500</v>
      </c>
      <c r="Q5635" s="12" t="n">
        <v>117000</v>
      </c>
      <c r="R5635" s="12" t="n">
        <v>2176</v>
      </c>
      <c r="S5635" s="12" t="inlineStr">
        <is>
          <t>Duct bank</t>
        </is>
      </c>
      <c r="T5635" s="15" t="n">
        <v>22</v>
      </c>
      <c r="U5635" s="15" t="n">
        <v>58</v>
      </c>
      <c r="V5635" s="15">
        <f>ROUNDUP((T5635+U5635+2*'Read Me'!$B$13)*(1+'Read Me'!$B$12),-1)</f>
        <v/>
      </c>
      <c r="W5635" s="15">
        <f>V5635*N5635*O5635</f>
        <v/>
      </c>
      <c r="X5635" s="12">
        <f>IF(LEFT(I5635,2)="MV",2*N5635*IF(L5635="1/C",O5635,1),0)</f>
        <v/>
      </c>
      <c r="Y5635" s="12">
        <f>IF(OR(LEFT(K5635,4)="LVAX",LEFT(K5635,6)="MV15AX",LEFT(K5635,4)="CTAX",LEFT(K5635,2)="W|"),2*N5635*O5635,0)</f>
        <v/>
      </c>
      <c r="Z5635" s="12" t="inlineStr">
        <is>
          <t>6 sets per phase</t>
        </is>
      </c>
      <c r="AA5635" s="12">
        <f>N5635*O5635</f>
        <v/>
      </c>
    </row>
    <row r="5636">
      <c r="A5636" s="12" t="inlineStr">
        <is>
          <t>I-PP-0001</t>
        </is>
      </c>
      <c r="B5636" s="12" t="inlineStr">
        <is>
          <t>I</t>
        </is>
      </c>
      <c r="C5636" s="12" t="inlineStr">
        <is>
          <t>Modular / portable power</t>
        </is>
      </c>
      <c r="D5636" s="12" t="inlineStr">
        <is>
          <t>PIC to commissioning load bank</t>
        </is>
      </c>
      <c r="E5636" s="12" t="inlineStr">
        <is>
          <t>PIC</t>
        </is>
      </c>
      <c r="F5636" s="12" t="inlineStr">
        <is>
          <t>PIC: portable input cabinet</t>
        </is>
      </c>
      <c r="G5636" s="12" t="inlineStr">
        <is>
          <t>LB</t>
        </is>
      </c>
      <c r="H5636" s="12" t="inlineStr">
        <is>
          <t>LB: commissioning load bank (trailer)</t>
        </is>
      </c>
      <c r="I5636" s="12" t="inlineStr">
        <is>
          <t>Portable MV</t>
        </is>
      </c>
      <c r="J5636" s="12" t="inlineStr">
        <is>
          <t>Type SHD-GC 15 kV 3/C Cu, 2 grounds + GC, yellow CPE (portable)</t>
        </is>
      </c>
      <c r="K5636" s="12" t="inlineStr">
        <is>
          <t>SHD|3/C|2</t>
        </is>
      </c>
      <c r="L5636" s="12" t="inlineStr">
        <is>
          <t>3/C</t>
        </is>
      </c>
      <c r="M5636" s="12" t="inlineStr">
        <is>
          <t>2</t>
        </is>
      </c>
      <c r="N5636" s="12" t="n">
        <v>1</v>
      </c>
      <c r="O5636" s="12" t="n">
        <v>1</v>
      </c>
      <c r="P5636" s="12" t="n">
        <v>13800</v>
      </c>
      <c r="Q5636" s="12" t="n">
        <v>2000</v>
      </c>
      <c r="R5636" s="12" t="n">
        <v>93</v>
      </c>
      <c r="S5636" s="12" t="inlineStr">
        <is>
          <t>Surface</t>
        </is>
      </c>
      <c r="T5636" s="15" t="n">
        <v>27</v>
      </c>
      <c r="U5636" s="15" t="n">
        <v>53</v>
      </c>
      <c r="V5636" s="15">
        <f>ROUNDUP((T5636+U5636+2*'Read Me'!$B$13)*(1+'Read Me'!$B$12),-1)</f>
        <v/>
      </c>
      <c r="W5636" s="15">
        <f>V5636*N5636*O5636</f>
        <v/>
      </c>
      <c r="X5636" s="12">
        <f>IF(LEFT(I5636,2)="MV",2*N5636*IF(L5636="1/C",O5636,1),0)</f>
        <v/>
      </c>
      <c r="Y5636" s="12">
        <f>IF(OR(LEFT(K5636,4)="LVAX",LEFT(K5636,6)="MV15AX",LEFT(K5636,4)="CTAX",LEFT(K5636,2)="W|"),2*N5636*O5636,0)</f>
        <v/>
      </c>
      <c r="Z5636" s="12" t="inlineStr">
        <is>
          <t>portable</t>
        </is>
      </c>
      <c r="AA5636" s="12">
        <f>N5636*O5636</f>
        <v/>
      </c>
    </row>
    <row r="5637">
      <c r="A5637" s="12" t="inlineStr">
        <is>
          <t>I-PP-0002</t>
        </is>
      </c>
      <c r="B5637" s="12" t="inlineStr">
        <is>
          <t>I</t>
        </is>
      </c>
      <c r="C5637" s="12" t="inlineStr">
        <is>
          <t>Modular / portable power</t>
        </is>
      </c>
      <c r="D5637" s="12" t="inlineStr">
        <is>
          <t>PIC to PAD-EH (MOB-1 trailer genset onto the pad bus)</t>
        </is>
      </c>
      <c r="E5637" s="12" t="inlineStr">
        <is>
          <t>PIC</t>
        </is>
      </c>
      <c r="F5637" s="12" t="inlineStr">
        <is>
          <t>PIC: portable input cabinet</t>
        </is>
      </c>
      <c r="G5637" s="12" t="inlineStr">
        <is>
          <t>PAD-EH</t>
        </is>
      </c>
      <c r="H5637" s="12" t="inlineStr">
        <is>
          <t>PAD-EH 13.8 kV switchgear e-house</t>
        </is>
      </c>
      <c r="I5637" s="12" t="inlineStr">
        <is>
          <t>Portable MV</t>
        </is>
      </c>
      <c r="J5637" s="12" t="inlineStr">
        <is>
          <t>Type SHD-GC 15 kV 3/C Cu, 2 grounds + GC, yellow CPE (portable)</t>
        </is>
      </c>
      <c r="K5637" s="12" t="inlineStr">
        <is>
          <t>SHD|3/C|2</t>
        </is>
      </c>
      <c r="L5637" s="12" t="inlineStr">
        <is>
          <t>3/C</t>
        </is>
      </c>
      <c r="M5637" s="12" t="inlineStr">
        <is>
          <t>2</t>
        </is>
      </c>
      <c r="N5637" s="12" t="n">
        <v>1</v>
      </c>
      <c r="O5637" s="12" t="n">
        <v>1</v>
      </c>
      <c r="P5637" s="12" t="n">
        <v>13800</v>
      </c>
      <c r="Q5637" s="12" t="n">
        <v>2000</v>
      </c>
      <c r="R5637" s="12" t="n">
        <v>93</v>
      </c>
      <c r="S5637" s="12" t="inlineStr">
        <is>
          <t>Duct bank</t>
        </is>
      </c>
      <c r="T5637" s="15" t="n">
        <v>182</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is>
          <t>portable</t>
        </is>
      </c>
      <c r="AA5637" s="12">
        <f>N5637*O5637</f>
        <v/>
      </c>
    </row>
    <row r="5638">
      <c r="A5638" s="12" t="inlineStr">
        <is>
          <t>I-PP-0003</t>
        </is>
      </c>
      <c r="B5638" s="12" t="inlineStr">
        <is>
          <t>I</t>
        </is>
      </c>
      <c r="C5638" s="12" t="inlineStr">
        <is>
          <t>Modular / portable power</t>
        </is>
      </c>
      <c r="D5638" s="12" t="inlineStr">
        <is>
          <t>MOB-1 13.8 kV to PIC through the C-L01 ramp</t>
        </is>
      </c>
      <c r="E5638" s="12" t="inlineStr">
        <is>
          <t>MOB-1</t>
        </is>
      </c>
      <c r="F5638" s="12" t="inlineStr">
        <is>
          <t>MOB-1: trailer genset</t>
        </is>
      </c>
      <c r="G5638" s="12" t="inlineStr">
        <is>
          <t>PIC</t>
        </is>
      </c>
      <c r="H5638" s="12" t="inlineStr">
        <is>
          <t>PIC: portable input cabinet</t>
        </is>
      </c>
      <c r="I5638" s="12" t="inlineStr">
        <is>
          <t>Portable MV</t>
        </is>
      </c>
      <c r="J5638" s="12" t="inlineStr">
        <is>
          <t>Type SHD-GC 15 kV 3/C Cu, 2 grounds + GC, yellow CPE (portable)</t>
        </is>
      </c>
      <c r="K5638" s="12" t="inlineStr">
        <is>
          <t>SHD|3/C|2</t>
        </is>
      </c>
      <c r="L5638" s="12" t="inlineStr">
        <is>
          <t>3/C</t>
        </is>
      </c>
      <c r="M5638" s="12" t="inlineStr">
        <is>
          <t>2</t>
        </is>
      </c>
      <c r="N5638" s="12" t="n">
        <v>1</v>
      </c>
      <c r="O5638" s="12" t="n">
        <v>1</v>
      </c>
      <c r="P5638" s="12" t="n">
        <v>13800</v>
      </c>
      <c r="Q5638" s="12" t="n">
        <v>2000</v>
      </c>
      <c r="R5638" s="12" t="n">
        <v>93</v>
      </c>
      <c r="S5638" s="12" t="inlineStr">
        <is>
          <t>Surface</t>
        </is>
      </c>
      <c r="T5638" s="15" t="n">
        <v>104</v>
      </c>
      <c r="U5638" s="15" t="n">
        <v>27</v>
      </c>
      <c r="V5638" s="15">
        <f>ROUNDUP((T5638+U5638+2*'Read Me'!$B$13)*(1+'Read Me'!$B$12),-1)</f>
        <v/>
      </c>
      <c r="W5638" s="15">
        <f>V5638*N5638*O5638</f>
        <v/>
      </c>
      <c r="X5638" s="12">
        <f>IF(LEFT(I5638,2)="MV",2*N5638*IF(L5638="1/C",O5638,1),0)</f>
        <v/>
      </c>
      <c r="Y5638" s="12">
        <f>IF(OR(LEFT(K5638,4)="LVAX",LEFT(K5638,6)="MV15AX",LEFT(K5638,4)="CTAX",LEFT(K5638,2)="W|"),2*N5638*O5638,0)</f>
        <v/>
      </c>
      <c r="Z5638" s="12" t="inlineStr">
        <is>
          <t>portable</t>
        </is>
      </c>
      <c r="AA5638" s="12">
        <f>N5638*O5638</f>
        <v/>
      </c>
    </row>
    <row r="5639">
      <c r="A5639" s="12" t="inlineStr">
        <is>
          <t>I-PP-0004</t>
        </is>
      </c>
      <c r="B5639" s="12" t="inlineStr">
        <is>
          <t>I</t>
        </is>
      </c>
      <c r="C5639" s="12" t="inlineStr">
        <is>
          <t>Modular / portable power</t>
        </is>
      </c>
      <c r="D5639" s="12" t="inlineStr">
        <is>
          <t>TGF-1 13.8 kV leads to the switchgear trailer</t>
        </is>
      </c>
      <c r="E5639" s="12" t="inlineStr">
        <is>
          <t>TGF-1</t>
        </is>
      </c>
      <c r="F5639" s="12" t="inlineStr">
        <is>
          <t xml:space="preserve">TGF-1: trailer-mounted gas-engine generator ~2.5 MW, 13.8 kV (trailer </t>
        </is>
      </c>
      <c r="G5639" s="12" t="inlineStr">
        <is>
          <t>TGF-SWG</t>
        </is>
      </c>
      <c r="H5639" s="12" t="inlineStr">
        <is>
          <t>TGF-SWG: mobile 13.8 kV switchgear trailer (fleet collector)</t>
        </is>
      </c>
      <c r="I5639" s="12" t="inlineStr">
        <is>
          <t>Portable MV</t>
        </is>
      </c>
      <c r="J5639" s="12" t="inlineStr">
        <is>
          <t>Type SHD-GC 15 kV 3/C Cu, 2 grounds + GC, yellow CPE (portable)</t>
        </is>
      </c>
      <c r="K5639" s="12" t="inlineStr">
        <is>
          <t>SHD|3/C|2</t>
        </is>
      </c>
      <c r="L5639" s="12" t="inlineStr">
        <is>
          <t>3/C</t>
        </is>
      </c>
      <c r="M5639" s="12" t="inlineStr">
        <is>
          <t>2</t>
        </is>
      </c>
      <c r="N5639" s="12" t="n">
        <v>1</v>
      </c>
      <c r="O5639" s="12" t="n">
        <v>1</v>
      </c>
      <c r="P5639" s="12" t="n">
        <v>13800</v>
      </c>
      <c r="Q5639" s="12" t="n">
        <v>2500</v>
      </c>
      <c r="R5639" s="12" t="n">
        <v>105</v>
      </c>
      <c r="S5639" s="12" t="inlineStr">
        <is>
          <t>Surface</t>
        </is>
      </c>
      <c r="T5639" s="15" t="n">
        <v>92</v>
      </c>
      <c r="U5639" s="15" t="n">
        <v>27</v>
      </c>
      <c r="V5639" s="15">
        <f>ROUNDUP((T5639+U5639+2*'Read Me'!$B$13)*(1+'Read Me'!$B$12),-1)</f>
        <v/>
      </c>
      <c r="W5639" s="15">
        <f>V5639*N5639*O5639</f>
        <v/>
      </c>
      <c r="X5639" s="12">
        <f>IF(LEFT(I5639,2)="MV",2*N5639*IF(L5639="1/C",O5639,1),0)</f>
        <v/>
      </c>
      <c r="Y5639" s="12">
        <f>IF(OR(LEFT(K5639,4)="LVAX",LEFT(K5639,6)="MV15AX",LEFT(K5639,4)="CTAX",LEFT(K5639,2)="W|"),2*N5639*O5639,0)</f>
        <v/>
      </c>
      <c r="Z5639" s="12" t="inlineStr">
        <is>
          <t>portable, on grade, cam-lock</t>
        </is>
      </c>
      <c r="AA5639" s="12">
        <f>N5639*O5639</f>
        <v/>
      </c>
    </row>
    <row r="5640">
      <c r="A5640" s="12" t="inlineStr">
        <is>
          <t>I-PP-0005</t>
        </is>
      </c>
      <c r="B5640" s="12" t="inlineStr">
        <is>
          <t>I</t>
        </is>
      </c>
      <c r="C5640" s="12" t="inlineStr">
        <is>
          <t>Modular / portable power</t>
        </is>
      </c>
      <c r="D5640" s="12" t="inlineStr">
        <is>
          <t>TGF-2 13.8 kV leads to the switchgear trailer</t>
        </is>
      </c>
      <c r="E5640" s="12" t="inlineStr">
        <is>
          <t>TGF-2</t>
        </is>
      </c>
      <c r="F5640" s="12" t="inlineStr">
        <is>
          <t xml:space="preserve">TGF-2: trailer-mounted gas-engine generator ~2.5 MW, 13.8 kV (trailer </t>
        </is>
      </c>
      <c r="G5640" s="12" t="inlineStr">
        <is>
          <t>TGF-SWG</t>
        </is>
      </c>
      <c r="H5640" s="12" t="inlineStr">
        <is>
          <t>TGF-SWG: mobile 13.8 kV switchgear trailer (fleet collector)</t>
        </is>
      </c>
      <c r="I5640" s="12" t="inlineStr">
        <is>
          <t>Portable MV</t>
        </is>
      </c>
      <c r="J5640" s="12" t="inlineStr">
        <is>
          <t>Type SHD-GC 15 kV 3/C Cu, 2 grounds + GC, yellow CPE (portable)</t>
        </is>
      </c>
      <c r="K5640" s="12" t="inlineStr">
        <is>
          <t>SHD|3/C|2</t>
        </is>
      </c>
      <c r="L5640" s="12" t="inlineStr">
        <is>
          <t>3/C</t>
        </is>
      </c>
      <c r="M5640" s="12" t="inlineStr">
        <is>
          <t>2</t>
        </is>
      </c>
      <c r="N5640" s="12" t="n">
        <v>1</v>
      </c>
      <c r="O5640" s="12" t="n">
        <v>1</v>
      </c>
      <c r="P5640" s="12" t="n">
        <v>13800</v>
      </c>
      <c r="Q5640" s="12" t="n">
        <v>2500</v>
      </c>
      <c r="R5640" s="12" t="n">
        <v>105</v>
      </c>
      <c r="S5640" s="12" t="inlineStr">
        <is>
          <t>Surface</t>
        </is>
      </c>
      <c r="T5640" s="15" t="n">
        <v>78</v>
      </c>
      <c r="U5640" s="15" t="n">
        <v>27</v>
      </c>
      <c r="V5640" s="15">
        <f>ROUNDUP((T5640+U5640+2*'Read Me'!$B$13)*(1+'Read Me'!$B$12),-1)</f>
        <v/>
      </c>
      <c r="W5640" s="15">
        <f>V5640*N5640*O5640</f>
        <v/>
      </c>
      <c r="X5640" s="12">
        <f>IF(LEFT(I5640,2)="MV",2*N5640*IF(L5640="1/C",O5640,1),0)</f>
        <v/>
      </c>
      <c r="Y5640" s="12">
        <f>IF(OR(LEFT(K5640,4)="LVAX",LEFT(K5640,6)="MV15AX",LEFT(K5640,4)="CTAX",LEFT(K5640,2)="W|"),2*N5640*O5640,0)</f>
        <v/>
      </c>
      <c r="Z5640" s="12" t="inlineStr">
        <is>
          <t>portable, on grade, cam-lock</t>
        </is>
      </c>
      <c r="AA5640" s="12">
        <f>N5640*O5640</f>
        <v/>
      </c>
    </row>
    <row r="5641">
      <c r="A5641" s="12" t="inlineStr">
        <is>
          <t>I-PP-0006</t>
        </is>
      </c>
      <c r="B5641" s="12" t="inlineStr">
        <is>
          <t>I</t>
        </is>
      </c>
      <c r="C5641" s="12" t="inlineStr">
        <is>
          <t>Modular / portable power</t>
        </is>
      </c>
      <c r="D5641" s="12" t="inlineStr">
        <is>
          <t>TGF-3 13.8 kV leads to the switchgear trailer</t>
        </is>
      </c>
      <c r="E5641" s="12" t="inlineStr">
        <is>
          <t>TGF-3</t>
        </is>
      </c>
      <c r="F5641" s="12" t="inlineStr">
        <is>
          <t xml:space="preserve">TGF-3: trailer-mounted gas-engine generator ~2.5 MW, 13.8 kV (trailer </t>
        </is>
      </c>
      <c r="G5641" s="12" t="inlineStr">
        <is>
          <t>TGF-SWG</t>
        </is>
      </c>
      <c r="H5641" s="12" t="inlineStr">
        <is>
          <t>TGF-SWG: mobile 13.8 kV switchgear trailer (fleet collector)</t>
        </is>
      </c>
      <c r="I5641" s="12" t="inlineStr">
        <is>
          <t>Portable MV</t>
        </is>
      </c>
      <c r="J5641" s="12" t="inlineStr">
        <is>
          <t>Type SHD-GC 15 kV 3/C Cu, 2 grounds + GC, yellow CPE (portable)</t>
        </is>
      </c>
      <c r="K5641" s="12" t="inlineStr">
        <is>
          <t>SHD|3/C|2</t>
        </is>
      </c>
      <c r="L5641" s="12" t="inlineStr">
        <is>
          <t>3/C</t>
        </is>
      </c>
      <c r="M5641" s="12" t="inlineStr">
        <is>
          <t>2</t>
        </is>
      </c>
      <c r="N5641" s="12" t="n">
        <v>1</v>
      </c>
      <c r="O5641" s="12" t="n">
        <v>1</v>
      </c>
      <c r="P5641" s="12" t="n">
        <v>13800</v>
      </c>
      <c r="Q5641" s="12" t="n">
        <v>2500</v>
      </c>
      <c r="R5641" s="12" t="n">
        <v>105</v>
      </c>
      <c r="S5641" s="12" t="inlineStr">
        <is>
          <t>Surface</t>
        </is>
      </c>
      <c r="T5641" s="15" t="n">
        <v>64</v>
      </c>
      <c r="U5641" s="15" t="n">
        <v>27</v>
      </c>
      <c r="V5641" s="15">
        <f>ROUNDUP((T5641+U5641+2*'Read Me'!$B$13)*(1+'Read Me'!$B$12),-1)</f>
        <v/>
      </c>
      <c r="W5641" s="15">
        <f>V5641*N5641*O5641</f>
        <v/>
      </c>
      <c r="X5641" s="12">
        <f>IF(LEFT(I5641,2)="MV",2*N5641*IF(L5641="1/C",O5641,1),0)</f>
        <v/>
      </c>
      <c r="Y5641" s="12">
        <f>IF(OR(LEFT(K5641,4)="LVAX",LEFT(K5641,6)="MV15AX",LEFT(K5641,4)="CTAX",LEFT(K5641,2)="W|"),2*N5641*O5641,0)</f>
        <v/>
      </c>
      <c r="Z5641" s="12" t="inlineStr">
        <is>
          <t>portable, on grade, cam-lock</t>
        </is>
      </c>
      <c r="AA5641" s="12">
        <f>N5641*O5641</f>
        <v/>
      </c>
    </row>
    <row r="5642">
      <c r="A5642" s="12" t="inlineStr">
        <is>
          <t>I-PP-0007</t>
        </is>
      </c>
      <c r="B5642" s="12" t="inlineStr">
        <is>
          <t>I</t>
        </is>
      </c>
      <c r="C5642" s="12" t="inlineStr">
        <is>
          <t>Modular / portable power</t>
        </is>
      </c>
      <c r="D5642" s="12" t="inlineStr">
        <is>
          <t>TGF-4 13.8 kV leads to the switchgear trailer</t>
        </is>
      </c>
      <c r="E5642" s="12" t="inlineStr">
        <is>
          <t>TGF-4</t>
        </is>
      </c>
      <c r="F5642" s="12" t="inlineStr">
        <is>
          <t xml:space="preserve">TGF-4: trailer-mounted gas-engine generator ~2.5 MW, 13.8 kV (trailer </t>
        </is>
      </c>
      <c r="G5642" s="12" t="inlineStr">
        <is>
          <t>TGF-SWG</t>
        </is>
      </c>
      <c r="H5642" s="12" t="inlineStr">
        <is>
          <t>TGF-SWG: mobile 13.8 kV switchgear trailer (fleet collector)</t>
        </is>
      </c>
      <c r="I5642" s="12" t="inlineStr">
        <is>
          <t>Portable MV</t>
        </is>
      </c>
      <c r="J5642" s="12" t="inlineStr">
        <is>
          <t>Type SHD-GC 15 kV 3/C Cu, 2 grounds + GC, yellow CPE (portable)</t>
        </is>
      </c>
      <c r="K5642" s="12" t="inlineStr">
        <is>
          <t>SHD|3/C|2</t>
        </is>
      </c>
      <c r="L5642" s="12" t="inlineStr">
        <is>
          <t>3/C</t>
        </is>
      </c>
      <c r="M5642" s="12" t="inlineStr">
        <is>
          <t>2</t>
        </is>
      </c>
      <c r="N5642" s="12" t="n">
        <v>1</v>
      </c>
      <c r="O5642" s="12" t="n">
        <v>1</v>
      </c>
      <c r="P5642" s="12" t="n">
        <v>13800</v>
      </c>
      <c r="Q5642" s="12" t="n">
        <v>2500</v>
      </c>
      <c r="R5642" s="12" t="n">
        <v>105</v>
      </c>
      <c r="S5642" s="12" t="inlineStr">
        <is>
          <t>Surface</t>
        </is>
      </c>
      <c r="T5642" s="15" t="n">
        <v>50</v>
      </c>
      <c r="U5642" s="15" t="n">
        <v>27</v>
      </c>
      <c r="V5642" s="15">
        <f>ROUNDUP((T5642+U5642+2*'Read Me'!$B$13)*(1+'Read Me'!$B$12),-1)</f>
        <v/>
      </c>
      <c r="W5642" s="15">
        <f>V5642*N5642*O5642</f>
        <v/>
      </c>
      <c r="X5642" s="12">
        <f>IF(LEFT(I5642,2)="MV",2*N5642*IF(L5642="1/C",O5642,1),0)</f>
        <v/>
      </c>
      <c r="Y5642" s="12">
        <f>IF(OR(LEFT(K5642,4)="LVAX",LEFT(K5642,6)="MV15AX",LEFT(K5642,4)="CTAX",LEFT(K5642,2)="W|"),2*N5642*O5642,0)</f>
        <v/>
      </c>
      <c r="Z5642" s="12" t="inlineStr">
        <is>
          <t>portable, on grade, cam-lock</t>
        </is>
      </c>
      <c r="AA5642" s="12">
        <f>N5642*O5642</f>
        <v/>
      </c>
    </row>
    <row r="5643">
      <c r="A5643" s="12" t="inlineStr">
        <is>
          <t>I-PP-0008</t>
        </is>
      </c>
      <c r="B5643" s="12" t="inlineStr">
        <is>
          <t>I</t>
        </is>
      </c>
      <c r="C5643" s="12" t="inlineStr">
        <is>
          <t>Modular / portable power</t>
        </is>
      </c>
      <c r="D5643" s="12" t="inlineStr">
        <is>
          <t>TGF-5 13.8 kV leads to the switchgear trailer</t>
        </is>
      </c>
      <c r="E5643" s="12" t="inlineStr">
        <is>
          <t>TGF-5</t>
        </is>
      </c>
      <c r="F5643" s="12" t="inlineStr">
        <is>
          <t xml:space="preserve">TGF-5: trailer-mounted gas-engine generator ~2.5 MW, 13.8 kV (trailer </t>
        </is>
      </c>
      <c r="G5643" s="12" t="inlineStr">
        <is>
          <t>TGF-SWG</t>
        </is>
      </c>
      <c r="H5643" s="12" t="inlineStr">
        <is>
          <t>TGF-SWG: mobile 13.8 kV switchgear trailer (fleet collector)</t>
        </is>
      </c>
      <c r="I5643" s="12" t="inlineStr">
        <is>
          <t>Portable MV</t>
        </is>
      </c>
      <c r="J5643" s="12" t="inlineStr">
        <is>
          <t>Type SHD-GC 15 kV 3/C Cu, 2 grounds + GC, yellow CPE (portable)</t>
        </is>
      </c>
      <c r="K5643" s="12" t="inlineStr">
        <is>
          <t>SHD|3/C|2</t>
        </is>
      </c>
      <c r="L5643" s="12" t="inlineStr">
        <is>
          <t>3/C</t>
        </is>
      </c>
      <c r="M5643" s="12" t="inlineStr">
        <is>
          <t>2</t>
        </is>
      </c>
      <c r="N5643" s="12" t="n">
        <v>1</v>
      </c>
      <c r="O5643" s="12" t="n">
        <v>1</v>
      </c>
      <c r="P5643" s="12" t="n">
        <v>13800</v>
      </c>
      <c r="Q5643" s="12" t="n">
        <v>2500</v>
      </c>
      <c r="R5643" s="12" t="n">
        <v>105</v>
      </c>
      <c r="S5643" s="12" t="inlineStr">
        <is>
          <t>Surface</t>
        </is>
      </c>
      <c r="T5643" s="15" t="n">
        <v>38</v>
      </c>
      <c r="U5643" s="15" t="n">
        <v>27</v>
      </c>
      <c r="V5643" s="15">
        <f>ROUNDUP((T5643+U5643+2*'Read Me'!$B$13)*(1+'Read Me'!$B$12),-1)</f>
        <v/>
      </c>
      <c r="W5643" s="15">
        <f>V5643*N5643*O5643</f>
        <v/>
      </c>
      <c r="X5643" s="12">
        <f>IF(LEFT(I5643,2)="MV",2*N5643*IF(L5643="1/C",O5643,1),0)</f>
        <v/>
      </c>
      <c r="Y5643" s="12">
        <f>IF(OR(LEFT(K5643,4)="LVAX",LEFT(K5643,6)="MV15AX",LEFT(K5643,4)="CTAX",LEFT(K5643,2)="W|"),2*N5643*O5643,0)</f>
        <v/>
      </c>
      <c r="Z5643" s="12" t="inlineStr">
        <is>
          <t>portable, on grade, cam-lock</t>
        </is>
      </c>
      <c r="AA5643" s="12">
        <f>N5643*O5643</f>
        <v/>
      </c>
    </row>
    <row r="5644">
      <c r="A5644" s="12" t="inlineStr">
        <is>
          <t>I-PP-0009</t>
        </is>
      </c>
      <c r="B5644" s="12" t="inlineStr">
        <is>
          <t>I</t>
        </is>
      </c>
      <c r="C5644" s="12" t="inlineStr">
        <is>
          <t>Modular / portable power</t>
        </is>
      </c>
      <c r="D5644" s="12" t="inlineStr">
        <is>
          <t>TGF-6 13.8 kV leads to the switchgear trailer</t>
        </is>
      </c>
      <c r="E5644" s="12" t="inlineStr">
        <is>
          <t>TGF-6</t>
        </is>
      </c>
      <c r="F5644" s="12" t="inlineStr">
        <is>
          <t xml:space="preserve">TGF-6: trailer-mounted gas-engine generator ~2.5 MW, 13.8 kV (trailer </t>
        </is>
      </c>
      <c r="G5644" s="12" t="inlineStr">
        <is>
          <t>TGF-SWG</t>
        </is>
      </c>
      <c r="H5644" s="12" t="inlineStr">
        <is>
          <t>TGF-SWG: mobile 13.8 kV switchgear trailer (fleet collector)</t>
        </is>
      </c>
      <c r="I5644" s="12" t="inlineStr">
        <is>
          <t>Portable MV</t>
        </is>
      </c>
      <c r="J5644" s="12" t="inlineStr">
        <is>
          <t>Type SHD-GC 15 kV 3/C Cu, 2 grounds + GC, yellow CPE (portable)</t>
        </is>
      </c>
      <c r="K5644" s="12" t="inlineStr">
        <is>
          <t>SHD|3/C|2</t>
        </is>
      </c>
      <c r="L5644" s="12" t="inlineStr">
        <is>
          <t>3/C</t>
        </is>
      </c>
      <c r="M5644" s="12" t="inlineStr">
        <is>
          <t>2</t>
        </is>
      </c>
      <c r="N5644" s="12" t="n">
        <v>1</v>
      </c>
      <c r="O5644" s="12" t="n">
        <v>1</v>
      </c>
      <c r="P5644" s="12" t="n">
        <v>13800</v>
      </c>
      <c r="Q5644" s="12" t="n">
        <v>2500</v>
      </c>
      <c r="R5644" s="12" t="n">
        <v>105</v>
      </c>
      <c r="S5644" s="12" t="inlineStr">
        <is>
          <t>Surface</t>
        </is>
      </c>
      <c r="T5644" s="15" t="n">
        <v>26</v>
      </c>
      <c r="U5644" s="15" t="n">
        <v>27</v>
      </c>
      <c r="V5644" s="15">
        <f>ROUNDUP((T5644+U5644+2*'Read Me'!$B$13)*(1+'Read Me'!$B$12),-1)</f>
        <v/>
      </c>
      <c r="W5644" s="15">
        <f>V5644*N5644*O5644</f>
        <v/>
      </c>
      <c r="X5644" s="12">
        <f>IF(LEFT(I5644,2)="MV",2*N5644*IF(L5644="1/C",O5644,1),0)</f>
        <v/>
      </c>
      <c r="Y5644" s="12">
        <f>IF(OR(LEFT(K5644,4)="LVAX",LEFT(K5644,6)="MV15AX",LEFT(K5644,4)="CTAX",LEFT(K5644,2)="W|"),2*N5644*O5644,0)</f>
        <v/>
      </c>
      <c r="Z5644" s="12" t="inlineStr">
        <is>
          <t>portable, on grade, cam-lock</t>
        </is>
      </c>
      <c r="AA5644" s="12">
        <f>N5644*O5644</f>
        <v/>
      </c>
    </row>
    <row r="5645">
      <c r="A5645" s="12" t="inlineStr">
        <is>
          <t>J-C-0001</t>
        </is>
      </c>
      <c r="B5645" s="12" t="inlineStr">
        <is>
          <t>J</t>
        </is>
      </c>
      <c r="C5645" s="12" t="inlineStr">
        <is>
          <t>GT inlet chilling</t>
        </is>
      </c>
      <c r="D5645" s="12" t="inlineStr">
        <is>
          <t>Motor 1 of 4: control / local station</t>
        </is>
      </c>
      <c r="E5645" s="12" t="inlineStr"/>
      <c r="F5645" s="12" t="inlineStr">
        <is>
          <t>Inlet-chilling e-house / transformer</t>
        </is>
      </c>
      <c r="G5645" s="12" t="inlineStr"/>
      <c r="H5645" s="12" t="inlineStr">
        <is>
          <t>CHW pumps</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579</v>
      </c>
      <c r="U5645" s="15" t="n">
        <v>32</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J-C-0002</t>
        </is>
      </c>
      <c r="B5646" s="12" t="inlineStr">
        <is>
          <t>J</t>
        </is>
      </c>
      <c r="C5646" s="12" t="inlineStr">
        <is>
          <t>GT inlet chilling</t>
        </is>
      </c>
      <c r="D5646" s="12" t="inlineStr">
        <is>
          <t>Motor 2 of 4: control / local station</t>
        </is>
      </c>
      <c r="E5646" s="12" t="inlineStr"/>
      <c r="F5646" s="12" t="inlineStr">
        <is>
          <t>Inlet-chilling e-house / transformer</t>
        </is>
      </c>
      <c r="G5646" s="12" t="inlineStr"/>
      <c r="H5646" s="12" t="inlineStr">
        <is>
          <t>CHW pumps</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J-C-0003</t>
        </is>
      </c>
      <c r="B5647" s="12" t="inlineStr">
        <is>
          <t>J</t>
        </is>
      </c>
      <c r="C5647" s="12" t="inlineStr">
        <is>
          <t>GT inlet chilling</t>
        </is>
      </c>
      <c r="D5647" s="12" t="inlineStr">
        <is>
          <t>Motor 3 of 4: control / local station</t>
        </is>
      </c>
      <c r="E5647" s="12" t="inlineStr"/>
      <c r="F5647" s="12" t="inlineStr">
        <is>
          <t>Inlet-chilling e-house / transformer</t>
        </is>
      </c>
      <c r="G5647" s="12" t="inlineStr"/>
      <c r="H5647" s="12" t="inlineStr">
        <is>
          <t>CHW pumps</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579</v>
      </c>
      <c r="U5647" s="15" t="n">
        <v>32</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J-C-0004</t>
        </is>
      </c>
      <c r="B5648" s="12" t="inlineStr">
        <is>
          <t>J</t>
        </is>
      </c>
      <c r="C5648" s="12" t="inlineStr">
        <is>
          <t>GT inlet chilling</t>
        </is>
      </c>
      <c r="D5648" s="12" t="inlineStr">
        <is>
          <t>Motor 4 of 4: control / local station</t>
        </is>
      </c>
      <c r="E5648" s="12" t="inlineStr"/>
      <c r="F5648" s="12" t="inlineStr">
        <is>
          <t>Inlet-chilling e-house / transformer</t>
        </is>
      </c>
      <c r="G5648" s="12" t="inlineStr"/>
      <c r="H5648" s="12" t="inlineStr">
        <is>
          <t>CHW pumps</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J-C-0005</t>
        </is>
      </c>
      <c r="B5649" s="12" t="inlineStr">
        <is>
          <t>J</t>
        </is>
      </c>
      <c r="C5649" s="12" t="inlineStr">
        <is>
          <t>GT inlet chilling</t>
        </is>
      </c>
      <c r="D5649" s="12" t="inlineStr">
        <is>
          <t>Motor 1 of 6: control / local station</t>
        </is>
      </c>
      <c r="E5649" s="12" t="inlineStr"/>
      <c r="F5649" s="12" t="inlineStr">
        <is>
          <t>Inlet-chilling e-house / transformer</t>
        </is>
      </c>
      <c r="G5649" s="12" t="inlineStr"/>
      <c r="H5649" s="12" t="inlineStr">
        <is>
          <t>Chillers x6 (water-cooled)</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10</v>
      </c>
      <c r="U5649" s="15" t="n">
        <v>32</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J-C-0006</t>
        </is>
      </c>
      <c r="B5650" s="12" t="inlineStr">
        <is>
          <t>J</t>
        </is>
      </c>
      <c r="C5650" s="12" t="inlineStr">
        <is>
          <t>GT inlet chilling</t>
        </is>
      </c>
      <c r="D5650" s="12" t="inlineStr">
        <is>
          <t>Motor 2 of 6: control / local station</t>
        </is>
      </c>
      <c r="E5650" s="12" t="inlineStr"/>
      <c r="F5650" s="12" t="inlineStr">
        <is>
          <t>Inlet-chilling e-house / transformer</t>
        </is>
      </c>
      <c r="G5650" s="12" t="inlineStr"/>
      <c r="H5650" s="12" t="inlineStr">
        <is>
          <t>Chillers x6 (water-cooled)</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10</v>
      </c>
      <c r="U5650" s="15" t="n">
        <v>32</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J-C-0007</t>
        </is>
      </c>
      <c r="B5651" s="12" t="inlineStr">
        <is>
          <t>J</t>
        </is>
      </c>
      <c r="C5651" s="12" t="inlineStr">
        <is>
          <t>GT inlet chilling</t>
        </is>
      </c>
      <c r="D5651" s="12" t="inlineStr">
        <is>
          <t>Motor 3 of 6: control / local station</t>
        </is>
      </c>
      <c r="E5651" s="12" t="inlineStr"/>
      <c r="F5651" s="12" t="inlineStr">
        <is>
          <t>Inlet-chilling e-house / transformer</t>
        </is>
      </c>
      <c r="G5651" s="12" t="inlineStr"/>
      <c r="H5651" s="12" t="inlineStr">
        <is>
          <t>Chillers x6 (water-cooled)</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10</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J-C-0008</t>
        </is>
      </c>
      <c r="B5652" s="12" t="inlineStr">
        <is>
          <t>J</t>
        </is>
      </c>
      <c r="C5652" s="12" t="inlineStr">
        <is>
          <t>GT inlet chilling</t>
        </is>
      </c>
      <c r="D5652" s="12" t="inlineStr">
        <is>
          <t>Motor 4 of 6: control / local station</t>
        </is>
      </c>
      <c r="E5652" s="12" t="inlineStr"/>
      <c r="F5652" s="12" t="inlineStr">
        <is>
          <t>Inlet-chilling e-house / transformer</t>
        </is>
      </c>
      <c r="G5652" s="12" t="inlineStr"/>
      <c r="H5652" s="12" t="inlineStr">
        <is>
          <t>Chillers x6 (water-cooled)</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10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J-C-0009</t>
        </is>
      </c>
      <c r="B5653" s="12" t="inlineStr">
        <is>
          <t>J</t>
        </is>
      </c>
      <c r="C5653" s="12" t="inlineStr">
        <is>
          <t>GT inlet chilling</t>
        </is>
      </c>
      <c r="D5653" s="12" t="inlineStr">
        <is>
          <t>Motor 5 of 6: control / local station</t>
        </is>
      </c>
      <c r="E5653" s="12" t="inlineStr"/>
      <c r="F5653" s="12" t="inlineStr">
        <is>
          <t>Inlet-chilling e-house / transformer</t>
        </is>
      </c>
      <c r="G5653" s="12" t="inlineStr"/>
      <c r="H5653" s="12" t="inlineStr">
        <is>
          <t>Chillers x6 (water-cooled)</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10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J-C-0010</t>
        </is>
      </c>
      <c r="B5654" s="12" t="inlineStr">
        <is>
          <t>J</t>
        </is>
      </c>
      <c r="C5654" s="12" t="inlineStr">
        <is>
          <t>GT inlet chilling</t>
        </is>
      </c>
      <c r="D5654" s="12" t="inlineStr">
        <is>
          <t>Motor 6 of 6: control / local station</t>
        </is>
      </c>
      <c r="E5654" s="12" t="inlineStr"/>
      <c r="F5654" s="12" t="inlineStr">
        <is>
          <t>Inlet-chilling e-house / transformer</t>
        </is>
      </c>
      <c r="G5654" s="12" t="inlineStr"/>
      <c r="H5654" s="12" t="inlineStr">
        <is>
          <t>Chillers x6 (water-cooled)</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Duct bank</t>
        </is>
      </c>
      <c r="T5654" s="15" t="n">
        <v>10</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J-C-0011</t>
        </is>
      </c>
      <c r="B5655" s="12" t="inlineStr">
        <is>
          <t>J</t>
        </is>
      </c>
      <c r="C5655" s="12" t="inlineStr">
        <is>
          <t>GT inlet chilling</t>
        </is>
      </c>
      <c r="D5655" s="12" t="inlineStr">
        <is>
          <t>Control</t>
        </is>
      </c>
      <c r="E5655" s="12" t="inlineStr"/>
      <c r="F5655" s="12" t="inlineStr">
        <is>
          <t>Inlet-chilling e-house / transformer</t>
        </is>
      </c>
      <c r="G5655" s="12" t="inlineStr"/>
      <c r="H5655" s="12" t="inlineStr">
        <is>
          <t>Inlet-chilling e-house / transformer</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Tray</t>
        </is>
      </c>
      <c r="T5655" s="15" t="n">
        <v>0</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J-C-0012</t>
        </is>
      </c>
      <c r="B5656" s="12" t="inlineStr">
        <is>
          <t>J</t>
        </is>
      </c>
      <c r="C5656" s="12" t="inlineStr">
        <is>
          <t>GT inlet chilling</t>
        </is>
      </c>
      <c r="D5656" s="12" t="inlineStr">
        <is>
          <t>Control</t>
        </is>
      </c>
      <c r="E5656" s="12" t="inlineStr"/>
      <c r="F5656" s="12" t="inlineStr">
        <is>
          <t>Inlet-chilling e-house / transformer</t>
        </is>
      </c>
      <c r="G5656" s="12" t="inlineStr"/>
      <c r="H5656" s="12" t="inlineStr">
        <is>
          <t>Inlet-chilling e-house / transformer</t>
        </is>
      </c>
      <c r="I5656" s="12" t="inlineStr">
        <is>
          <t>Control</t>
        </is>
      </c>
      <c r="J5656" s="12" t="inlineStr">
        <is>
          <t>Control cable 600 V Type TC-ER, Cu #14 AWG, PVC jacket</t>
        </is>
      </c>
      <c r="K5656" s="12" t="inlineStr">
        <is>
          <t>CT|12/C|14</t>
        </is>
      </c>
      <c r="L5656" s="12" t="inlineStr">
        <is>
          <t>12/C</t>
        </is>
      </c>
      <c r="M5656" s="12" t="inlineStr">
        <is>
          <t>14</t>
        </is>
      </c>
      <c r="N5656" s="12" t="n">
        <v>1</v>
      </c>
      <c r="O5656" s="12" t="n">
        <v>1</v>
      </c>
      <c r="P5656" s="12" t="n"/>
      <c r="Q5656" s="12" t="n"/>
      <c r="R5656" s="12" t="n"/>
      <c r="S5656" s="12" t="inlineStr">
        <is>
          <t>Tray</t>
        </is>
      </c>
      <c r="T5656" s="15" t="n">
        <v>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J-C-0013</t>
        </is>
      </c>
      <c r="B5657" s="12" t="inlineStr">
        <is>
          <t>J</t>
        </is>
      </c>
      <c r="C5657" s="12" t="inlineStr">
        <is>
          <t>GT inlet chilling</t>
        </is>
      </c>
      <c r="D5657" s="12" t="inlineStr">
        <is>
          <t>CT / VT</t>
        </is>
      </c>
      <c r="E5657" s="12" t="inlineStr"/>
      <c r="F5657" s="12" t="inlineStr">
        <is>
          <t>Inlet-chilling e-house / transformer</t>
        </is>
      </c>
      <c r="G5657" s="12" t="inlineStr"/>
      <c r="H5657" s="12" t="inlineStr">
        <is>
          <t>Inlet-chilling e-house / transformer</t>
        </is>
      </c>
      <c r="I5657" s="12" t="inlineStr">
        <is>
          <t>Control</t>
        </is>
      </c>
      <c r="J5657" s="12" t="inlineStr">
        <is>
          <t>Control cable 600 V Type TC-ER, Cu #10 AWG (CT / VT circuits)</t>
        </is>
      </c>
      <c r="K5657" s="12" t="inlineStr">
        <is>
          <t>CTCT|4/C|10</t>
        </is>
      </c>
      <c r="L5657" s="12" t="inlineStr">
        <is>
          <t>4/C</t>
        </is>
      </c>
      <c r="M5657" s="12" t="inlineStr">
        <is>
          <t>10</t>
        </is>
      </c>
      <c r="N5657" s="12" t="n">
        <v>1</v>
      </c>
      <c r="O5657" s="12" t="n">
        <v>1</v>
      </c>
      <c r="P5657" s="12" t="n"/>
      <c r="Q5657" s="12" t="n"/>
      <c r="R5657" s="12" t="n"/>
      <c r="S5657" s="12" t="inlineStr">
        <is>
          <t>Tray</t>
        </is>
      </c>
      <c r="T5657" s="15" t="n">
        <v>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J-C-0014</t>
        </is>
      </c>
      <c r="B5658" s="12" t="inlineStr">
        <is>
          <t>J</t>
        </is>
      </c>
      <c r="C5658" s="12" t="inlineStr">
        <is>
          <t>GT inlet chilling</t>
        </is>
      </c>
      <c r="D5658" s="12" t="inlineStr">
        <is>
          <t>CT / VT</t>
        </is>
      </c>
      <c r="E5658" s="12" t="inlineStr"/>
      <c r="F5658" s="12" t="inlineStr">
        <is>
          <t>Inlet-chilling e-house / transformer</t>
        </is>
      </c>
      <c r="G5658" s="12" t="inlineStr"/>
      <c r="H5658" s="12" t="inlineStr">
        <is>
          <t>Inlet-chilling e-house / transformer</t>
        </is>
      </c>
      <c r="I5658" s="12" t="inlineStr">
        <is>
          <t>Control</t>
        </is>
      </c>
      <c r="J5658" s="12" t="inlineStr">
        <is>
          <t>Control cable 600 V Type TC-ER, Cu #10 AWG (CT / VT circuits)</t>
        </is>
      </c>
      <c r="K5658" s="12" t="inlineStr">
        <is>
          <t>CTCT|4/C|10</t>
        </is>
      </c>
      <c r="L5658" s="12" t="inlineStr">
        <is>
          <t>4/C</t>
        </is>
      </c>
      <c r="M5658" s="12" t="inlineStr">
        <is>
          <t>10</t>
        </is>
      </c>
      <c r="N5658" s="12" t="n">
        <v>1</v>
      </c>
      <c r="O5658" s="12" t="n">
        <v>1</v>
      </c>
      <c r="P5658" s="12" t="n"/>
      <c r="Q5658" s="12" t="n"/>
      <c r="R5658" s="12" t="n"/>
      <c r="S5658" s="12" t="inlineStr">
        <is>
          <t>Tray</t>
        </is>
      </c>
      <c r="T5658" s="15" t="n">
        <v>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J-C-0015</t>
        </is>
      </c>
      <c r="B5659" s="12" t="inlineStr">
        <is>
          <t>J</t>
        </is>
      </c>
      <c r="C5659" s="12" t="inlineStr">
        <is>
          <t>GT inlet chilling</t>
        </is>
      </c>
      <c r="D5659" s="12" t="inlineStr">
        <is>
          <t>Motor 1 of 12: control / local station</t>
        </is>
      </c>
      <c r="E5659" s="12" t="inlineStr"/>
      <c r="F5659" s="12" t="inlineStr">
        <is>
          <t>Inlet-chilling e-house / transformer</t>
        </is>
      </c>
      <c r="G5659" s="12" t="inlineStr"/>
      <c r="H5659" s="12" t="inlineStr">
        <is>
          <t>Inlet-chilling tower (12 cells): chiller heat rejection</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5" t="n">
        <v>478</v>
      </c>
      <c r="U5659" s="15" t="n">
        <v>38</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J-C-0016</t>
        </is>
      </c>
      <c r="B5660" s="12" t="inlineStr">
        <is>
          <t>J</t>
        </is>
      </c>
      <c r="C5660" s="12" t="inlineStr">
        <is>
          <t>GT inlet chilling</t>
        </is>
      </c>
      <c r="D5660" s="12" t="inlineStr">
        <is>
          <t>Motor 2 of 12: control / local station</t>
        </is>
      </c>
      <c r="E5660" s="12" t="inlineStr"/>
      <c r="F5660" s="12" t="inlineStr">
        <is>
          <t>Inlet-chilling e-house / transformer</t>
        </is>
      </c>
      <c r="G5660" s="12" t="inlineStr"/>
      <c r="H5660" s="12" t="inlineStr">
        <is>
          <t>Inlet-chilling tower (12 cells): chiller heat rejection</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5" t="n">
        <v>478</v>
      </c>
      <c r="U5660" s="15" t="n">
        <v>38</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J-C-0017</t>
        </is>
      </c>
      <c r="B5661" s="12" t="inlineStr">
        <is>
          <t>J</t>
        </is>
      </c>
      <c r="C5661" s="12" t="inlineStr">
        <is>
          <t>GT inlet chilling</t>
        </is>
      </c>
      <c r="D5661" s="12" t="inlineStr">
        <is>
          <t>Motor 3 of 12: control / local station</t>
        </is>
      </c>
      <c r="E5661" s="12" t="inlineStr"/>
      <c r="F5661" s="12" t="inlineStr">
        <is>
          <t>Inlet-chilling e-house / transformer</t>
        </is>
      </c>
      <c r="G5661" s="12" t="inlineStr"/>
      <c r="H5661" s="12" t="inlineStr">
        <is>
          <t>Inlet-chilling tower (12 cells): chiller heat rejection</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5" t="n">
        <v>478</v>
      </c>
      <c r="U5661" s="15" t="n">
        <v>38</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J-C-0018</t>
        </is>
      </c>
      <c r="B5662" s="12" t="inlineStr">
        <is>
          <t>J</t>
        </is>
      </c>
      <c r="C5662" s="12" t="inlineStr">
        <is>
          <t>GT inlet chilling</t>
        </is>
      </c>
      <c r="D5662" s="12" t="inlineStr">
        <is>
          <t>Motor 4 of 12: control / local station</t>
        </is>
      </c>
      <c r="E5662" s="12" t="inlineStr"/>
      <c r="F5662" s="12" t="inlineStr">
        <is>
          <t>Inlet-chilling e-house / transformer</t>
        </is>
      </c>
      <c r="G5662" s="12" t="inlineStr"/>
      <c r="H5662" s="12" t="inlineStr">
        <is>
          <t>Inlet-chilling tower (12 cells): chiller heat rejection</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5" t="n">
        <v>478</v>
      </c>
      <c r="U5662" s="15" t="n">
        <v>38</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J-C-0019</t>
        </is>
      </c>
      <c r="B5663" s="12" t="inlineStr">
        <is>
          <t>J</t>
        </is>
      </c>
      <c r="C5663" s="12" t="inlineStr">
        <is>
          <t>GT inlet chilling</t>
        </is>
      </c>
      <c r="D5663" s="12" t="inlineStr">
        <is>
          <t>Motor 5 of 12: control / local station</t>
        </is>
      </c>
      <c r="E5663" s="12" t="inlineStr"/>
      <c r="F5663" s="12" t="inlineStr">
        <is>
          <t>Inlet-chilling e-house / transformer</t>
        </is>
      </c>
      <c r="G5663" s="12" t="inlineStr"/>
      <c r="H5663" s="12" t="inlineStr">
        <is>
          <t>Inlet-chilling tower (12 cells): chiller heat rejection</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5" t="n">
        <v>478</v>
      </c>
      <c r="U5663" s="15" t="n">
        <v>38</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J-C-0020</t>
        </is>
      </c>
      <c r="B5664" s="12" t="inlineStr">
        <is>
          <t>J</t>
        </is>
      </c>
      <c r="C5664" s="12" t="inlineStr">
        <is>
          <t>GT inlet chilling</t>
        </is>
      </c>
      <c r="D5664" s="12" t="inlineStr">
        <is>
          <t>Motor 6 of 12: control / local station</t>
        </is>
      </c>
      <c r="E5664" s="12" t="inlineStr"/>
      <c r="F5664" s="12" t="inlineStr">
        <is>
          <t>Inlet-chilling e-house / transformer</t>
        </is>
      </c>
      <c r="G5664" s="12" t="inlineStr"/>
      <c r="H5664" s="12" t="inlineStr">
        <is>
          <t>Inlet-chilling tower (12 cells): chiller heat rejection</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5" t="n">
        <v>478</v>
      </c>
      <c r="U5664" s="15" t="n">
        <v>38</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J-C-0021</t>
        </is>
      </c>
      <c r="B5665" s="12" t="inlineStr">
        <is>
          <t>J</t>
        </is>
      </c>
      <c r="C5665" s="12" t="inlineStr">
        <is>
          <t>GT inlet chilling</t>
        </is>
      </c>
      <c r="D5665" s="12" t="inlineStr">
        <is>
          <t>Motor 7 of 12: control / local station</t>
        </is>
      </c>
      <c r="E5665" s="12" t="inlineStr"/>
      <c r="F5665" s="12" t="inlineStr">
        <is>
          <t>Inlet-chilling e-house / transformer</t>
        </is>
      </c>
      <c r="G5665" s="12" t="inlineStr"/>
      <c r="H5665" s="12" t="inlineStr">
        <is>
          <t>Inlet-chilling tower (12 cells): chiller heat rejection</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5" t="n">
        <v>478</v>
      </c>
      <c r="U5665" s="15" t="n">
        <v>38</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J-C-0022</t>
        </is>
      </c>
      <c r="B5666" s="12" t="inlineStr">
        <is>
          <t>J</t>
        </is>
      </c>
      <c r="C5666" s="12" t="inlineStr">
        <is>
          <t>GT inlet chilling</t>
        </is>
      </c>
      <c r="D5666" s="12" t="inlineStr">
        <is>
          <t>Motor 8 of 12: control / local station</t>
        </is>
      </c>
      <c r="E5666" s="12" t="inlineStr"/>
      <c r="F5666" s="12" t="inlineStr">
        <is>
          <t>Inlet-chilling e-house / transformer</t>
        </is>
      </c>
      <c r="G5666" s="12" t="inlineStr"/>
      <c r="H5666" s="12" t="inlineStr">
        <is>
          <t>Inlet-chilling tower (12 cells): chiller heat rejection</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5" t="n">
        <v>478</v>
      </c>
      <c r="U5666" s="15" t="n">
        <v>38</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J-C-0023</t>
        </is>
      </c>
      <c r="B5667" s="12" t="inlineStr">
        <is>
          <t>J</t>
        </is>
      </c>
      <c r="C5667" s="12" t="inlineStr">
        <is>
          <t>GT inlet chilling</t>
        </is>
      </c>
      <c r="D5667" s="12" t="inlineStr">
        <is>
          <t>Motor 9 of 12: control / local station</t>
        </is>
      </c>
      <c r="E5667" s="12" t="inlineStr"/>
      <c r="F5667" s="12" t="inlineStr">
        <is>
          <t>Inlet-chilling e-house / transformer</t>
        </is>
      </c>
      <c r="G5667" s="12" t="inlineStr"/>
      <c r="H5667" s="12" t="inlineStr">
        <is>
          <t>Inlet-chilling tower (12 cells): chiller heat rejection</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5" t="n">
        <v>478</v>
      </c>
      <c r="U5667" s="15" t="n">
        <v>38</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J-C-0024</t>
        </is>
      </c>
      <c r="B5668" s="12" t="inlineStr">
        <is>
          <t>J</t>
        </is>
      </c>
      <c r="C5668" s="12" t="inlineStr">
        <is>
          <t>GT inlet chilling</t>
        </is>
      </c>
      <c r="D5668" s="12" t="inlineStr">
        <is>
          <t>Motor 10 of 12: control / local station</t>
        </is>
      </c>
      <c r="E5668" s="12" t="inlineStr"/>
      <c r="F5668" s="12" t="inlineStr">
        <is>
          <t>Inlet-chilling e-house / transformer</t>
        </is>
      </c>
      <c r="G5668" s="12" t="inlineStr"/>
      <c r="H5668" s="12" t="inlineStr">
        <is>
          <t>Inlet-chilling tower (12 cells): chiller heat rejection</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5" t="n">
        <v>478</v>
      </c>
      <c r="U5668" s="15" t="n">
        <v>38</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J-C-0025</t>
        </is>
      </c>
      <c r="B5669" s="12" t="inlineStr">
        <is>
          <t>J</t>
        </is>
      </c>
      <c r="C5669" s="12" t="inlineStr">
        <is>
          <t>GT inlet chilling</t>
        </is>
      </c>
      <c r="D5669" s="12" t="inlineStr">
        <is>
          <t>Motor 11 of 12: control / local station</t>
        </is>
      </c>
      <c r="E5669" s="12" t="inlineStr"/>
      <c r="F5669" s="12" t="inlineStr">
        <is>
          <t>Inlet-chilling e-house / transformer</t>
        </is>
      </c>
      <c r="G5669" s="12" t="inlineStr"/>
      <c r="H5669" s="12" t="inlineStr">
        <is>
          <t>Inlet-chilling tower (12 cells): chiller heat rejection</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5" t="n">
        <v>478</v>
      </c>
      <c r="U5669" s="15" t="n">
        <v>38</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J-C-0026</t>
        </is>
      </c>
      <c r="B5670" s="12" t="inlineStr">
        <is>
          <t>J</t>
        </is>
      </c>
      <c r="C5670" s="12" t="inlineStr">
        <is>
          <t>GT inlet chilling</t>
        </is>
      </c>
      <c r="D5670" s="12" t="inlineStr">
        <is>
          <t>Motor 12 of 12: control / local station</t>
        </is>
      </c>
      <c r="E5670" s="12" t="inlineStr"/>
      <c r="F5670" s="12" t="inlineStr">
        <is>
          <t>Inlet-chilling e-house / transformer</t>
        </is>
      </c>
      <c r="G5670" s="12" t="inlineStr"/>
      <c r="H5670" s="12" t="inlineStr">
        <is>
          <t>Inlet-chilling tower (12 cells): chiller heat rejection</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5" t="n">
        <v>478</v>
      </c>
      <c r="U5670" s="15" t="n">
        <v>38</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J-I-0001</t>
        </is>
      </c>
      <c r="B5671" s="12" t="inlineStr">
        <is>
          <t>J</t>
        </is>
      </c>
      <c r="C5671" s="12" t="inlineStr">
        <is>
          <t>GT inlet chilling</t>
        </is>
      </c>
      <c r="D5671" s="12" t="inlineStr">
        <is>
          <t>Analog instrument to JB JB-CHW pumps-AI01: 12 x 1 pr (field cables)</t>
        </is>
      </c>
      <c r="E5671" s="12" t="inlineStr"/>
      <c r="F5671" s="12" t="inlineStr">
        <is>
          <t>CHW pumps</t>
        </is>
      </c>
      <c r="G5671" s="12" t="inlineStr">
        <is>
          <t>JB-CHW pumps-AI01</t>
        </is>
      </c>
      <c r="H5671" s="12" t="inlineStr">
        <is>
          <t>CHW pumps</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12</v>
      </c>
      <c r="O5671" s="12" t="n">
        <v>1</v>
      </c>
      <c r="P5671" s="12" t="n"/>
      <c r="Q5671" s="12" t="n"/>
      <c r="R5671" s="12" t="n"/>
      <c r="S5671" s="12" t="inlineStr">
        <is>
          <t>Tray / conduit</t>
        </is>
      </c>
      <c r="T5671" s="15" t="n">
        <v>92</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J-I-0002</t>
        </is>
      </c>
      <c r="B5672" s="12" t="inlineStr">
        <is>
          <t>J</t>
        </is>
      </c>
      <c r="C5672" s="12" t="inlineStr">
        <is>
          <t>GT inlet chilling</t>
        </is>
      </c>
      <c r="D5672" s="12" t="inlineStr">
        <is>
          <t>Home run JB-CHW pumps-AI01 to the control / marshalling room</t>
        </is>
      </c>
      <c r="E5672" s="12" t="inlineStr"/>
      <c r="F5672" s="12" t="inlineStr">
        <is>
          <t>Inlet-chilling e-house / transformer</t>
        </is>
      </c>
      <c r="G5672" s="12" t="inlineStr">
        <is>
          <t>JB-CHW pumps-AI01</t>
        </is>
      </c>
      <c r="H5672" s="12" t="inlineStr">
        <is>
          <t>CHW pumps</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579</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J-I-0003</t>
        </is>
      </c>
      <c r="B5673" s="12" t="inlineStr">
        <is>
          <t>J</t>
        </is>
      </c>
      <c r="C5673" s="12" t="inlineStr">
        <is>
          <t>GT inlet chilling</t>
        </is>
      </c>
      <c r="D5673" s="12" t="inlineStr">
        <is>
          <t>Discrete device to JB JB-CHW pumps-DI01: 12 x 1 pr (field cables)</t>
        </is>
      </c>
      <c r="E5673" s="12" t="inlineStr"/>
      <c r="F5673" s="12" t="inlineStr">
        <is>
          <t>CHW pumps</t>
        </is>
      </c>
      <c r="G5673" s="12" t="inlineStr">
        <is>
          <t>JB-CHW pumps-DI01</t>
        </is>
      </c>
      <c r="H5673" s="12" t="inlineStr">
        <is>
          <t>CHW pumps</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12</v>
      </c>
      <c r="O5673" s="12" t="n">
        <v>1</v>
      </c>
      <c r="P5673" s="12" t="n"/>
      <c r="Q5673" s="12" t="n"/>
      <c r="R5673" s="12" t="n"/>
      <c r="S5673" s="12" t="inlineStr">
        <is>
          <t>Tray / conduit</t>
        </is>
      </c>
      <c r="T5673" s="15" t="n">
        <v>92</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J-I-0004</t>
        </is>
      </c>
      <c r="B5674" s="12" t="inlineStr">
        <is>
          <t>J</t>
        </is>
      </c>
      <c r="C5674" s="12" t="inlineStr">
        <is>
          <t>GT inlet chilling</t>
        </is>
      </c>
      <c r="D5674" s="12" t="inlineStr">
        <is>
          <t>Home run JB-CHW pumps-DI01 to the control / marshalling room</t>
        </is>
      </c>
      <c r="E5674" s="12" t="inlineStr"/>
      <c r="F5674" s="12" t="inlineStr">
        <is>
          <t>Inlet-chilling e-house / transformer</t>
        </is>
      </c>
      <c r="G5674" s="12" t="inlineStr">
        <is>
          <t>JB-CHW pumps-DI01</t>
        </is>
      </c>
      <c r="H5674" s="12" t="inlineStr">
        <is>
          <t>CHW pumps</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579</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J-I-0005</t>
        </is>
      </c>
      <c r="B5675" s="12" t="inlineStr">
        <is>
          <t>J</t>
        </is>
      </c>
      <c r="C5675" s="12" t="inlineStr">
        <is>
          <t>GT inlet chilling</t>
        </is>
      </c>
      <c r="D5675" s="12" t="inlineStr">
        <is>
          <t>Analog instrument to JB JB-CONDITIONAL: TES c-AI01: 4 x 1 pr (field cables)</t>
        </is>
      </c>
      <c r="E5675" s="12" t="inlineStr"/>
      <c r="F5675" s="12" t="inlineStr">
        <is>
          <t>CONDITIONAL: TES chilled-water tank</t>
        </is>
      </c>
      <c r="G5675" s="12" t="inlineStr">
        <is>
          <t>JB-CONDITIONAL: TES c-AI01</t>
        </is>
      </c>
      <c r="H5675" s="12" t="inlineStr">
        <is>
          <t>CONDITIONAL: TES chilled-water tank</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4</v>
      </c>
      <c r="O5675" s="12" t="n">
        <v>1</v>
      </c>
      <c r="P5675" s="12" t="n"/>
      <c r="Q5675" s="12" t="n"/>
      <c r="R5675" s="12" t="n"/>
      <c r="S5675" s="12" t="inlineStr">
        <is>
          <t>Tray / conduit</t>
        </is>
      </c>
      <c r="T5675" s="15" t="n">
        <v>91</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J-I-0006</t>
        </is>
      </c>
      <c r="B5676" s="12" t="inlineStr">
        <is>
          <t>J</t>
        </is>
      </c>
      <c r="C5676" s="12" t="inlineStr">
        <is>
          <t>GT inlet chilling</t>
        </is>
      </c>
      <c r="D5676" s="12" t="inlineStr">
        <is>
          <t>Home run JB-CONDITIONAL: TES c-AI01 to the control / marshalling room</t>
        </is>
      </c>
      <c r="E5676" s="12" t="inlineStr"/>
      <c r="F5676" s="12" t="inlineStr">
        <is>
          <t>Inlet-chilling e-house / transformer</t>
        </is>
      </c>
      <c r="G5676" s="12" t="inlineStr">
        <is>
          <t>JB-CONDITIONAL: TES c-AI01</t>
        </is>
      </c>
      <c r="H5676" s="12" t="inlineStr">
        <is>
          <t>CONDITIONAL: TES chilled-water tank</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271</v>
      </c>
      <c r="U5676" s="15" t="n">
        <v>217</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J-I-0007</t>
        </is>
      </c>
      <c r="B5677" s="12" t="inlineStr">
        <is>
          <t>J</t>
        </is>
      </c>
      <c r="C5677" s="12" t="inlineStr">
        <is>
          <t>GT inlet chilling</t>
        </is>
      </c>
      <c r="D5677" s="12" t="inlineStr">
        <is>
          <t>Discrete device to JB JB-CONDITIONAL: TES c-DI01: 4 x 1 pr (field cables)</t>
        </is>
      </c>
      <c r="E5677" s="12" t="inlineStr"/>
      <c r="F5677" s="12" t="inlineStr">
        <is>
          <t>CONDITIONAL: TES chilled-water tank</t>
        </is>
      </c>
      <c r="G5677" s="12" t="inlineStr">
        <is>
          <t>JB-CONDITIONAL: TES c-DI01</t>
        </is>
      </c>
      <c r="H5677" s="12" t="inlineStr">
        <is>
          <t>CONDITIONAL: TES chilled-water tank</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4</v>
      </c>
      <c r="O5677" s="12" t="n">
        <v>1</v>
      </c>
      <c r="P5677" s="12" t="n"/>
      <c r="Q5677" s="12" t="n"/>
      <c r="R5677" s="12" t="n"/>
      <c r="S5677" s="12" t="inlineStr">
        <is>
          <t>Tray / conduit</t>
        </is>
      </c>
      <c r="T5677" s="15" t="n">
        <v>91</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J-I-0008</t>
        </is>
      </c>
      <c r="B5678" s="12" t="inlineStr">
        <is>
          <t>J</t>
        </is>
      </c>
      <c r="C5678" s="12" t="inlineStr">
        <is>
          <t>GT inlet chilling</t>
        </is>
      </c>
      <c r="D5678" s="12" t="inlineStr">
        <is>
          <t>Home run JB-CONDITIONAL: TES c-DI01 to the control / marshalling room</t>
        </is>
      </c>
      <c r="E5678" s="12" t="inlineStr"/>
      <c r="F5678" s="12" t="inlineStr">
        <is>
          <t>Inlet-chilling e-house / transformer</t>
        </is>
      </c>
      <c r="G5678" s="12" t="inlineStr">
        <is>
          <t>JB-CONDITIONAL: TES c-DI01</t>
        </is>
      </c>
      <c r="H5678" s="12" t="inlineStr">
        <is>
          <t>CONDITIONAL: TES chilled-water tank</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271</v>
      </c>
      <c r="U5678" s="15" t="n">
        <v>217</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J-I-0009</t>
        </is>
      </c>
      <c r="B5679" s="12" t="inlineStr">
        <is>
          <t>J</t>
        </is>
      </c>
      <c r="C5679" s="12" t="inlineStr">
        <is>
          <t>GT inlet chilling</t>
        </is>
      </c>
      <c r="D5679" s="12" t="inlineStr">
        <is>
          <t>Analog instrument to JB JB-CW pumps (inlet ch-AI01: 20 x 1 pr (field cables)</t>
        </is>
      </c>
      <c r="E5679" s="12" t="inlineStr"/>
      <c r="F5679" s="12" t="inlineStr">
        <is>
          <t>CW pumps (inlet chilling)</t>
        </is>
      </c>
      <c r="G5679" s="12" t="inlineStr">
        <is>
          <t>JB-CW pumps (inlet ch-AI01</t>
        </is>
      </c>
      <c r="H5679" s="12" t="inlineStr">
        <is>
          <t>CW pumps (inlet chilling)</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92</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J-I-0010</t>
        </is>
      </c>
      <c r="B5680" s="12" t="inlineStr">
        <is>
          <t>J</t>
        </is>
      </c>
      <c r="C5680" s="12" t="inlineStr">
        <is>
          <t>GT inlet chilling</t>
        </is>
      </c>
      <c r="D5680" s="12" t="inlineStr">
        <is>
          <t>Home run JB-CW pumps (inlet ch-AI01 to the control / marshalling room</t>
        </is>
      </c>
      <c r="E5680" s="12" t="inlineStr"/>
      <c r="F5680" s="12" t="inlineStr">
        <is>
          <t>Inlet-chilling e-house / transformer</t>
        </is>
      </c>
      <c r="G5680" s="12" t="inlineStr">
        <is>
          <t>JB-CW pumps (inlet ch-AI01</t>
        </is>
      </c>
      <c r="H5680" s="12" t="inlineStr">
        <is>
          <t>CW pumps (inlet chilling)</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Tray</t>
        </is>
      </c>
      <c r="T5680" s="15" t="n">
        <v>0</v>
      </c>
      <c r="U5680" s="15" t="n">
        <v>70</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J-I-0011</t>
        </is>
      </c>
      <c r="B5681" s="12" t="inlineStr">
        <is>
          <t>J</t>
        </is>
      </c>
      <c r="C5681" s="12" t="inlineStr">
        <is>
          <t>GT inlet chilling</t>
        </is>
      </c>
      <c r="D5681" s="12" t="inlineStr">
        <is>
          <t>Analog instrument to JB JB-CW pumps (inlet ch-AI02: 4 x 1 pr (field cables)</t>
        </is>
      </c>
      <c r="E5681" s="12" t="inlineStr"/>
      <c r="F5681" s="12" t="inlineStr">
        <is>
          <t>CW pumps (inlet chilling)</t>
        </is>
      </c>
      <c r="G5681" s="12" t="inlineStr">
        <is>
          <t>JB-CW pumps (inlet ch-AI02</t>
        </is>
      </c>
      <c r="H5681" s="12" t="inlineStr">
        <is>
          <t>CW pumps (inlet chilling)</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4</v>
      </c>
      <c r="O5681" s="12" t="n">
        <v>1</v>
      </c>
      <c r="P5681" s="12" t="n"/>
      <c r="Q5681" s="12" t="n"/>
      <c r="R5681" s="12" t="n"/>
      <c r="S5681" s="12" t="inlineStr">
        <is>
          <t>Tray / conduit</t>
        </is>
      </c>
      <c r="T5681" s="15" t="n">
        <v>92</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J-I-0012</t>
        </is>
      </c>
      <c r="B5682" s="12" t="inlineStr">
        <is>
          <t>J</t>
        </is>
      </c>
      <c r="C5682" s="12" t="inlineStr">
        <is>
          <t>GT inlet chilling</t>
        </is>
      </c>
      <c r="D5682" s="12" t="inlineStr">
        <is>
          <t>Home run JB-CW pumps (inlet ch-AI02 to the control / marshalling room</t>
        </is>
      </c>
      <c r="E5682" s="12" t="inlineStr"/>
      <c r="F5682" s="12" t="inlineStr">
        <is>
          <t>Inlet-chilling e-house / transformer</t>
        </is>
      </c>
      <c r="G5682" s="12" t="inlineStr">
        <is>
          <t>JB-CW pumps (inlet ch-AI02</t>
        </is>
      </c>
      <c r="H5682" s="12" t="inlineStr">
        <is>
          <t>CW pumps (inlet chilling)</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Tray</t>
        </is>
      </c>
      <c r="T5682" s="15" t="n">
        <v>0</v>
      </c>
      <c r="U5682" s="15" t="n">
        <v>70</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J-I-0013</t>
        </is>
      </c>
      <c r="B5683" s="12" t="inlineStr">
        <is>
          <t>J</t>
        </is>
      </c>
      <c r="C5683" s="12" t="inlineStr">
        <is>
          <t>GT inlet chilling</t>
        </is>
      </c>
      <c r="D5683" s="12" t="inlineStr">
        <is>
          <t>Discrete device to JB JB-CW pumps (inlet ch-DI01: 20 x 1 pr (field cables)</t>
        </is>
      </c>
      <c r="E5683" s="12" t="inlineStr"/>
      <c r="F5683" s="12" t="inlineStr">
        <is>
          <t>CW pumps (inlet chilling)</t>
        </is>
      </c>
      <c r="G5683" s="12" t="inlineStr">
        <is>
          <t>JB-CW pumps (inlet ch-DI01</t>
        </is>
      </c>
      <c r="H5683" s="12" t="inlineStr">
        <is>
          <t>CW pumps (inlet chilling)</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92</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J-I-0014</t>
        </is>
      </c>
      <c r="B5684" s="12" t="inlineStr">
        <is>
          <t>J</t>
        </is>
      </c>
      <c r="C5684" s="12" t="inlineStr">
        <is>
          <t>GT inlet chilling</t>
        </is>
      </c>
      <c r="D5684" s="12" t="inlineStr">
        <is>
          <t>Home run JB-CW pumps (inlet ch-DI01 to the control / marshalling room</t>
        </is>
      </c>
      <c r="E5684" s="12" t="inlineStr"/>
      <c r="F5684" s="12" t="inlineStr">
        <is>
          <t>Inlet-chilling e-house / transformer</t>
        </is>
      </c>
      <c r="G5684" s="12" t="inlineStr">
        <is>
          <t>JB-CW pumps (inlet ch-DI01</t>
        </is>
      </c>
      <c r="H5684" s="12" t="inlineStr">
        <is>
          <t>CW pumps (inlet chilling)</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5" t="n">
        <v>0</v>
      </c>
      <c r="U5684" s="15" t="n">
        <v>70</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J-I-0015</t>
        </is>
      </c>
      <c r="B5685" s="12" t="inlineStr">
        <is>
          <t>J</t>
        </is>
      </c>
      <c r="C5685" s="12" t="inlineStr">
        <is>
          <t>GT inlet chilling</t>
        </is>
      </c>
      <c r="D5685" s="12" t="inlineStr">
        <is>
          <t>Discrete device to JB JB-CW pumps (inlet ch-DI02: 4 x 1 pr (field cables)</t>
        </is>
      </c>
      <c r="E5685" s="12" t="inlineStr"/>
      <c r="F5685" s="12" t="inlineStr">
        <is>
          <t>CW pumps (inlet chilling)</t>
        </is>
      </c>
      <c r="G5685" s="12" t="inlineStr">
        <is>
          <t>JB-CW pumps (inlet ch-DI02</t>
        </is>
      </c>
      <c r="H5685" s="12" t="inlineStr">
        <is>
          <t>CW pumps (inlet chilling)</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4</v>
      </c>
      <c r="O5685" s="12" t="n">
        <v>1</v>
      </c>
      <c r="P5685" s="12" t="n"/>
      <c r="Q5685" s="12" t="n"/>
      <c r="R5685" s="12" t="n"/>
      <c r="S5685" s="12" t="inlineStr">
        <is>
          <t>Tray / conduit</t>
        </is>
      </c>
      <c r="T5685" s="15" t="n">
        <v>92</v>
      </c>
      <c r="U5685" s="15" t="n">
        <v>10</v>
      </c>
      <c r="V5685" s="15">
        <f>ROUNDUP((T5685+U5685+2*'Read Me'!$B$13)*(1+'Read Me'!$B$12),-1)</f>
        <v/>
      </c>
      <c r="W5685" s="15">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J-I-0016</t>
        </is>
      </c>
      <c r="B5686" s="12" t="inlineStr">
        <is>
          <t>J</t>
        </is>
      </c>
      <c r="C5686" s="12" t="inlineStr">
        <is>
          <t>GT inlet chilling</t>
        </is>
      </c>
      <c r="D5686" s="12" t="inlineStr">
        <is>
          <t>Home run JB-CW pumps (inlet ch-DI02 to the control / marshalling room</t>
        </is>
      </c>
      <c r="E5686" s="12" t="inlineStr"/>
      <c r="F5686" s="12" t="inlineStr">
        <is>
          <t>Inlet-chilling e-house / transformer</t>
        </is>
      </c>
      <c r="G5686" s="12" t="inlineStr">
        <is>
          <t>JB-CW pumps (inlet ch-DI02</t>
        </is>
      </c>
      <c r="H5686" s="12" t="inlineStr">
        <is>
          <t>CW pumps (inlet chilling)</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5" t="n">
        <v>0</v>
      </c>
      <c r="U5686" s="15" t="n">
        <v>70</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J-I-0017</t>
        </is>
      </c>
      <c r="B5687" s="12" t="inlineStr">
        <is>
          <t>J</t>
        </is>
      </c>
      <c r="C5687" s="12" t="inlineStr">
        <is>
          <t>GT inlet chilling</t>
        </is>
      </c>
      <c r="D5687" s="12" t="inlineStr">
        <is>
          <t>Analog instrument to JB JB-Chillers x6 (water-AI01: 20 x 1 pr (field cables)</t>
        </is>
      </c>
      <c r="E5687" s="12" t="inlineStr"/>
      <c r="F5687" s="12" t="inlineStr">
        <is>
          <t>Chillers x6 (water-cooled)</t>
        </is>
      </c>
      <c r="G5687" s="12" t="inlineStr">
        <is>
          <t>JB-Chillers x6 (water-AI01</t>
        </is>
      </c>
      <c r="H5687" s="12" t="inlineStr">
        <is>
          <t>Chillers x6 (water-cooled)</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5" t="n">
        <v>190</v>
      </c>
      <c r="U5687" s="15" t="n">
        <v>10</v>
      </c>
      <c r="V5687" s="15">
        <f>ROUNDUP((T5687+U5687+2*'Read Me'!$B$13)*(1+'Read Me'!$B$12),-1)</f>
        <v/>
      </c>
      <c r="W5687" s="15">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J-I-0018</t>
        </is>
      </c>
      <c r="B5688" s="12" t="inlineStr">
        <is>
          <t>J</t>
        </is>
      </c>
      <c r="C5688" s="12" t="inlineStr">
        <is>
          <t>GT inlet chilling</t>
        </is>
      </c>
      <c r="D5688" s="12" t="inlineStr">
        <is>
          <t>Home run JB-Chillers x6 (water-AI01 to the control / marshalling room</t>
        </is>
      </c>
      <c r="E5688" s="12" t="inlineStr"/>
      <c r="F5688" s="12" t="inlineStr">
        <is>
          <t>Inlet-chilling e-house / transformer</t>
        </is>
      </c>
      <c r="G5688" s="12" t="inlineStr">
        <is>
          <t>JB-Chillers x6 (water-AI01</t>
        </is>
      </c>
      <c r="H5688" s="12" t="inlineStr">
        <is>
          <t>Chillers x6 (water-cooled)</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Duct bank</t>
        </is>
      </c>
      <c r="T5688" s="15" t="n">
        <v>10</v>
      </c>
      <c r="U5688" s="15" t="n">
        <v>32</v>
      </c>
      <c r="V5688" s="15">
        <f>ROUNDUP((T5688+U5688+2*'Read Me'!$B$13)*(1+'Read Me'!$B$12),-1)</f>
        <v/>
      </c>
      <c r="W5688" s="15">
        <f>V5688*N5688*O5688</f>
        <v/>
      </c>
      <c r="X5688" s="12">
        <f>IF(LEFT(I5688,2)="MV",2*N5688*IF(L5688="1/C",O5688,1),0)</f>
        <v/>
      </c>
      <c r="Y5688" s="12">
        <f>IF(OR(LEFT(K5688,4)="LVAX",LEFT(K5688,6)="MV15AX",LEFT(K5688,4)="CTAX",LEFT(K5688,2)="W|"),2*N5688*O5688,0)</f>
        <v/>
      </c>
      <c r="Z5688" s="12" t="inlineStr"/>
      <c r="AA5688" s="12">
        <f>N5688*O5688</f>
        <v/>
      </c>
    </row>
    <row r="5689">
      <c r="A5689" s="12" t="inlineStr">
        <is>
          <t>J-I-0019</t>
        </is>
      </c>
      <c r="B5689" s="12" t="inlineStr">
        <is>
          <t>J</t>
        </is>
      </c>
      <c r="C5689" s="12" t="inlineStr">
        <is>
          <t>GT inlet chilling</t>
        </is>
      </c>
      <c r="D5689" s="12" t="inlineStr">
        <is>
          <t>Analog instrument to JB JB-Chillers x6 (water-AI02: 20 x 1 pr (field cables)</t>
        </is>
      </c>
      <c r="E5689" s="12" t="inlineStr"/>
      <c r="F5689" s="12" t="inlineStr">
        <is>
          <t>Chillers x6 (water-cooled)</t>
        </is>
      </c>
      <c r="G5689" s="12" t="inlineStr">
        <is>
          <t>JB-Chillers x6 (water-AI02</t>
        </is>
      </c>
      <c r="H5689" s="12" t="inlineStr">
        <is>
          <t>Chillers x6 (water-cooled)</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5" t="n">
        <v>190</v>
      </c>
      <c r="U5689" s="15" t="n">
        <v>10</v>
      </c>
      <c r="V5689" s="15">
        <f>ROUNDUP((T5689+U5689+2*'Read Me'!$B$13)*(1+'Read Me'!$B$12),-1)</f>
        <v/>
      </c>
      <c r="W5689" s="15">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J-I-0020</t>
        </is>
      </c>
      <c r="B5690" s="12" t="inlineStr">
        <is>
          <t>J</t>
        </is>
      </c>
      <c r="C5690" s="12" t="inlineStr">
        <is>
          <t>GT inlet chilling</t>
        </is>
      </c>
      <c r="D5690" s="12" t="inlineStr">
        <is>
          <t>Home run JB-Chillers x6 (water-AI02 to the control / marshalling room</t>
        </is>
      </c>
      <c r="E5690" s="12" t="inlineStr"/>
      <c r="F5690" s="12" t="inlineStr">
        <is>
          <t>Inlet-chilling e-house / transformer</t>
        </is>
      </c>
      <c r="G5690" s="12" t="inlineStr">
        <is>
          <t>JB-Chillers x6 (water-AI02</t>
        </is>
      </c>
      <c r="H5690" s="12" t="inlineStr">
        <is>
          <t>Chillers x6 (water-cooled)</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Duct bank</t>
        </is>
      </c>
      <c r="T5690" s="15" t="n">
        <v>10</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J-I-0021</t>
        </is>
      </c>
      <c r="B5691" s="12" t="inlineStr">
        <is>
          <t>J</t>
        </is>
      </c>
      <c r="C5691" s="12" t="inlineStr">
        <is>
          <t>GT inlet chilling</t>
        </is>
      </c>
      <c r="D5691" s="12" t="inlineStr">
        <is>
          <t>Analog instrument to JB JB-Chillers x6 (water-AI03: 20 x 1 pr (field cables)</t>
        </is>
      </c>
      <c r="E5691" s="12" t="inlineStr"/>
      <c r="F5691" s="12" t="inlineStr">
        <is>
          <t>Chillers x6 (water-cooled)</t>
        </is>
      </c>
      <c r="G5691" s="12" t="inlineStr">
        <is>
          <t>JB-Chillers x6 (water-AI03</t>
        </is>
      </c>
      <c r="H5691" s="12" t="inlineStr">
        <is>
          <t>Chillers x6 (water-cooled)</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5" t="n">
        <v>190</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J-I-0022</t>
        </is>
      </c>
      <c r="B5692" s="12" t="inlineStr">
        <is>
          <t>J</t>
        </is>
      </c>
      <c r="C5692" s="12" t="inlineStr">
        <is>
          <t>GT inlet chilling</t>
        </is>
      </c>
      <c r="D5692" s="12" t="inlineStr">
        <is>
          <t>Home run JB-Chillers x6 (water-AI03 to the control / marshalling room</t>
        </is>
      </c>
      <c r="E5692" s="12" t="inlineStr"/>
      <c r="F5692" s="12" t="inlineStr">
        <is>
          <t>Inlet-chilling e-house / transformer</t>
        </is>
      </c>
      <c r="G5692" s="12" t="inlineStr">
        <is>
          <t>JB-Chillers x6 (water-AI03</t>
        </is>
      </c>
      <c r="H5692" s="12" t="inlineStr">
        <is>
          <t>Chillers x6 (water-cooled)</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5" t="n">
        <v>10</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J-I-0023</t>
        </is>
      </c>
      <c r="B5693" s="12" t="inlineStr">
        <is>
          <t>J</t>
        </is>
      </c>
      <c r="C5693" s="12" t="inlineStr">
        <is>
          <t>GT inlet chilling</t>
        </is>
      </c>
      <c r="D5693" s="12" t="inlineStr">
        <is>
          <t>Analog instrument to JB JB-Chillers x6 (water-AI04: 20 x 1 pr (field cables)</t>
        </is>
      </c>
      <c r="E5693" s="12" t="inlineStr"/>
      <c r="F5693" s="12" t="inlineStr">
        <is>
          <t>Chillers x6 (water-cooled)</t>
        </is>
      </c>
      <c r="G5693" s="12" t="inlineStr">
        <is>
          <t>JB-Chillers x6 (water-AI04</t>
        </is>
      </c>
      <c r="H5693" s="12" t="inlineStr">
        <is>
          <t>Chillers x6 (water-cooled)</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5" t="n">
        <v>190</v>
      </c>
      <c r="U5693" s="15" t="n">
        <v>10</v>
      </c>
      <c r="V5693" s="15">
        <f>ROUNDUP((T5693+U5693+2*'Read Me'!$B$13)*(1+'Read Me'!$B$12),-1)</f>
        <v/>
      </c>
      <c r="W5693" s="15">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J-I-0024</t>
        </is>
      </c>
      <c r="B5694" s="12" t="inlineStr">
        <is>
          <t>J</t>
        </is>
      </c>
      <c r="C5694" s="12" t="inlineStr">
        <is>
          <t>GT inlet chilling</t>
        </is>
      </c>
      <c r="D5694" s="12" t="inlineStr">
        <is>
          <t>Home run JB-Chillers x6 (water-AI04 to the control / marshalling room</t>
        </is>
      </c>
      <c r="E5694" s="12" t="inlineStr"/>
      <c r="F5694" s="12" t="inlineStr">
        <is>
          <t>Inlet-chilling e-house / transformer</t>
        </is>
      </c>
      <c r="G5694" s="12" t="inlineStr">
        <is>
          <t>JB-Chillers x6 (water-AI04</t>
        </is>
      </c>
      <c r="H5694" s="12" t="inlineStr">
        <is>
          <t>Chillers x6 (water-cooled)</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5" t="n">
        <v>10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J-I-0025</t>
        </is>
      </c>
      <c r="B5695" s="12" t="inlineStr">
        <is>
          <t>J</t>
        </is>
      </c>
      <c r="C5695" s="12" t="inlineStr">
        <is>
          <t>GT inlet chilling</t>
        </is>
      </c>
      <c r="D5695" s="12" t="inlineStr">
        <is>
          <t>Analog instrument to JB JB-Chillers x6 (water-AI05: 20 x 1 pr (field cables)</t>
        </is>
      </c>
      <c r="E5695" s="12" t="inlineStr"/>
      <c r="F5695" s="12" t="inlineStr">
        <is>
          <t>Chillers x6 (water-cooled)</t>
        </is>
      </c>
      <c r="G5695" s="12" t="inlineStr">
        <is>
          <t>JB-Chillers x6 (water-AI05</t>
        </is>
      </c>
      <c r="H5695" s="12" t="inlineStr">
        <is>
          <t>Chillers x6 (water-cooled)</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5" t="n">
        <v>190</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J-I-0026</t>
        </is>
      </c>
      <c r="B5696" s="12" t="inlineStr">
        <is>
          <t>J</t>
        </is>
      </c>
      <c r="C5696" s="12" t="inlineStr">
        <is>
          <t>GT inlet chilling</t>
        </is>
      </c>
      <c r="D5696" s="12" t="inlineStr">
        <is>
          <t>Home run JB-Chillers x6 (water-AI05 to the control / marshalling room</t>
        </is>
      </c>
      <c r="E5696" s="12" t="inlineStr"/>
      <c r="F5696" s="12" t="inlineStr">
        <is>
          <t>Inlet-chilling e-house / transformer</t>
        </is>
      </c>
      <c r="G5696" s="12" t="inlineStr">
        <is>
          <t>JB-Chillers x6 (water-AI05</t>
        </is>
      </c>
      <c r="H5696" s="12" t="inlineStr">
        <is>
          <t>Chillers x6 (water-cooled)</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10</v>
      </c>
      <c r="U5696" s="15" t="n">
        <v>32</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J-I-0027</t>
        </is>
      </c>
      <c r="B5697" s="12" t="inlineStr">
        <is>
          <t>J</t>
        </is>
      </c>
      <c r="C5697" s="12" t="inlineStr">
        <is>
          <t>GT inlet chilling</t>
        </is>
      </c>
      <c r="D5697" s="12" t="inlineStr">
        <is>
          <t>Analog instrument to JB JB-Chillers x6 (water-AI06: 20 x 1 pr (field cables)</t>
        </is>
      </c>
      <c r="E5697" s="12" t="inlineStr"/>
      <c r="F5697" s="12" t="inlineStr">
        <is>
          <t>Chillers x6 (water-cooled)</t>
        </is>
      </c>
      <c r="G5697" s="12" t="inlineStr">
        <is>
          <t>JB-Chillers x6 (water-AI06</t>
        </is>
      </c>
      <c r="H5697" s="12" t="inlineStr">
        <is>
          <t>Chillers x6 (water-cooled)</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190</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J-I-0028</t>
        </is>
      </c>
      <c r="B5698" s="12" t="inlineStr">
        <is>
          <t>J</t>
        </is>
      </c>
      <c r="C5698" s="12" t="inlineStr">
        <is>
          <t>GT inlet chilling</t>
        </is>
      </c>
      <c r="D5698" s="12" t="inlineStr">
        <is>
          <t>Home run JB-Chillers x6 (water-AI06 to the control / marshalling room</t>
        </is>
      </c>
      <c r="E5698" s="12" t="inlineStr"/>
      <c r="F5698" s="12" t="inlineStr">
        <is>
          <t>Inlet-chilling e-house / transformer</t>
        </is>
      </c>
      <c r="G5698" s="12" t="inlineStr">
        <is>
          <t>JB-Chillers x6 (water-AI06</t>
        </is>
      </c>
      <c r="H5698" s="12" t="inlineStr">
        <is>
          <t>Chillers x6 (water-cooled)</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J-I-0029</t>
        </is>
      </c>
      <c r="B5699" s="12" t="inlineStr">
        <is>
          <t>J</t>
        </is>
      </c>
      <c r="C5699" s="12" t="inlineStr">
        <is>
          <t>GT inlet chilling</t>
        </is>
      </c>
      <c r="D5699" s="12" t="inlineStr">
        <is>
          <t>Discrete device to JB JB-Chillers x6 (water-DI01: 20 x 1 pr (field cables)</t>
        </is>
      </c>
      <c r="E5699" s="12" t="inlineStr"/>
      <c r="F5699" s="12" t="inlineStr">
        <is>
          <t>Chillers x6 (water-cooled)</t>
        </is>
      </c>
      <c r="G5699" s="12" t="inlineStr">
        <is>
          <t>JB-Chillers x6 (water-DI01</t>
        </is>
      </c>
      <c r="H5699" s="12" t="inlineStr">
        <is>
          <t>Chillers x6 (water-cooled)</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5" t="n">
        <v>190</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J-I-0030</t>
        </is>
      </c>
      <c r="B5700" s="12" t="inlineStr">
        <is>
          <t>J</t>
        </is>
      </c>
      <c r="C5700" s="12" t="inlineStr">
        <is>
          <t>GT inlet chilling</t>
        </is>
      </c>
      <c r="D5700" s="12" t="inlineStr">
        <is>
          <t>Home run JB-Chillers x6 (water-DI01 to the control / marshalling room</t>
        </is>
      </c>
      <c r="E5700" s="12" t="inlineStr"/>
      <c r="F5700" s="12" t="inlineStr">
        <is>
          <t>Inlet-chilling e-house / transformer</t>
        </is>
      </c>
      <c r="G5700" s="12" t="inlineStr">
        <is>
          <t>JB-Chillers x6 (water-DI01</t>
        </is>
      </c>
      <c r="H5700" s="12" t="inlineStr">
        <is>
          <t>Chillers x6 (water-cooled)</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J-I-0031</t>
        </is>
      </c>
      <c r="B5701" s="12" t="inlineStr">
        <is>
          <t>J</t>
        </is>
      </c>
      <c r="C5701" s="12" t="inlineStr">
        <is>
          <t>GT inlet chilling</t>
        </is>
      </c>
      <c r="D5701" s="12" t="inlineStr">
        <is>
          <t>Discrete device to JB JB-Chillers x6 (water-DI02: 20 x 1 pr (field cables)</t>
        </is>
      </c>
      <c r="E5701" s="12" t="inlineStr"/>
      <c r="F5701" s="12" t="inlineStr">
        <is>
          <t>Chillers x6 (water-cooled)</t>
        </is>
      </c>
      <c r="G5701" s="12" t="inlineStr">
        <is>
          <t>JB-Chillers x6 (water-DI02</t>
        </is>
      </c>
      <c r="H5701" s="12" t="inlineStr">
        <is>
          <t>Chillers x6 (water-cooled)</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5" t="n">
        <v>190</v>
      </c>
      <c r="U5701" s="15" t="n">
        <v>10</v>
      </c>
      <c r="V5701" s="15">
        <f>ROUNDUP((T5701+U5701+2*'Read Me'!$B$13)*(1+'Read Me'!$B$12),-1)</f>
        <v/>
      </c>
      <c r="W5701" s="15">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J-I-0032</t>
        </is>
      </c>
      <c r="B5702" s="12" t="inlineStr">
        <is>
          <t>J</t>
        </is>
      </c>
      <c r="C5702" s="12" t="inlineStr">
        <is>
          <t>GT inlet chilling</t>
        </is>
      </c>
      <c r="D5702" s="12" t="inlineStr">
        <is>
          <t>Home run JB-Chillers x6 (water-DI02 to the control / marshalling room</t>
        </is>
      </c>
      <c r="E5702" s="12" t="inlineStr"/>
      <c r="F5702" s="12" t="inlineStr">
        <is>
          <t>Inlet-chilling e-house / transformer</t>
        </is>
      </c>
      <c r="G5702" s="12" t="inlineStr">
        <is>
          <t>JB-Chillers x6 (water-DI02</t>
        </is>
      </c>
      <c r="H5702" s="12" t="inlineStr">
        <is>
          <t>Chillers x6 (water-cooled)</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c r="AA5702" s="12">
        <f>N5702*O5702</f>
        <v/>
      </c>
    </row>
    <row r="5703">
      <c r="A5703" s="12" t="inlineStr">
        <is>
          <t>J-I-0033</t>
        </is>
      </c>
      <c r="B5703" s="12" t="inlineStr">
        <is>
          <t>J</t>
        </is>
      </c>
      <c r="C5703" s="12" t="inlineStr">
        <is>
          <t>GT inlet chilling</t>
        </is>
      </c>
      <c r="D5703" s="12" t="inlineStr">
        <is>
          <t>Discrete device to JB JB-Chillers x6 (water-DI03: 20 x 1 pr (field cables)</t>
        </is>
      </c>
      <c r="E5703" s="12" t="inlineStr"/>
      <c r="F5703" s="12" t="inlineStr">
        <is>
          <t>Chillers x6 (water-cooled)</t>
        </is>
      </c>
      <c r="G5703" s="12" t="inlineStr">
        <is>
          <t>JB-Chillers x6 (water-DI03</t>
        </is>
      </c>
      <c r="H5703" s="12" t="inlineStr">
        <is>
          <t>Chillers x6 (water-cooled)</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5" t="n">
        <v>190</v>
      </c>
      <c r="U5703" s="15" t="n">
        <v>10</v>
      </c>
      <c r="V5703" s="15">
        <f>ROUNDUP((T5703+U5703+2*'Read Me'!$B$13)*(1+'Read Me'!$B$12),-1)</f>
        <v/>
      </c>
      <c r="W5703" s="15">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J-I-0034</t>
        </is>
      </c>
      <c r="B5704" s="12" t="inlineStr">
        <is>
          <t>J</t>
        </is>
      </c>
      <c r="C5704" s="12" t="inlineStr">
        <is>
          <t>GT inlet chilling</t>
        </is>
      </c>
      <c r="D5704" s="12" t="inlineStr">
        <is>
          <t>Home run JB-Chillers x6 (water-DI03 to the control / marshalling room</t>
        </is>
      </c>
      <c r="E5704" s="12" t="inlineStr"/>
      <c r="F5704" s="12" t="inlineStr">
        <is>
          <t>Inlet-chilling e-house / transformer</t>
        </is>
      </c>
      <c r="G5704" s="12" t="inlineStr">
        <is>
          <t>JB-Chillers x6 (water-DI03</t>
        </is>
      </c>
      <c r="H5704" s="12" t="inlineStr">
        <is>
          <t>Chillers x6 (water-cooled)</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Duct bank</t>
        </is>
      </c>
      <c r="T5704" s="15" t="n">
        <v>10</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c r="AA5704" s="12">
        <f>N5704*O5704</f>
        <v/>
      </c>
    </row>
    <row r="5705">
      <c r="A5705" s="12" t="inlineStr">
        <is>
          <t>J-I-0035</t>
        </is>
      </c>
      <c r="B5705" s="12" t="inlineStr">
        <is>
          <t>J</t>
        </is>
      </c>
      <c r="C5705" s="12" t="inlineStr">
        <is>
          <t>GT inlet chilling</t>
        </is>
      </c>
      <c r="D5705" s="12" t="inlineStr">
        <is>
          <t>Discrete device to JB JB-Chillers x6 (water-DI04: 20 x 1 pr (field cables)</t>
        </is>
      </c>
      <c r="E5705" s="12" t="inlineStr"/>
      <c r="F5705" s="12" t="inlineStr">
        <is>
          <t>Chillers x6 (water-cooled)</t>
        </is>
      </c>
      <c r="G5705" s="12" t="inlineStr">
        <is>
          <t>JB-Chillers x6 (water-DI04</t>
        </is>
      </c>
      <c r="H5705" s="12" t="inlineStr">
        <is>
          <t>Chillers x6 (water-cooled)</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5" t="n">
        <v>190</v>
      </c>
      <c r="U5705" s="15" t="n">
        <v>10</v>
      </c>
      <c r="V5705" s="15">
        <f>ROUNDUP((T5705+U5705+2*'Read Me'!$B$13)*(1+'Read Me'!$B$12),-1)</f>
        <v/>
      </c>
      <c r="W5705" s="15">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J-I-0036</t>
        </is>
      </c>
      <c r="B5706" s="12" t="inlineStr">
        <is>
          <t>J</t>
        </is>
      </c>
      <c r="C5706" s="12" t="inlineStr">
        <is>
          <t>GT inlet chilling</t>
        </is>
      </c>
      <c r="D5706" s="12" t="inlineStr">
        <is>
          <t>Home run JB-Chillers x6 (water-DI04 to the control / marshalling room</t>
        </is>
      </c>
      <c r="E5706" s="12" t="inlineStr"/>
      <c r="F5706" s="12" t="inlineStr">
        <is>
          <t>Inlet-chilling e-house / transformer</t>
        </is>
      </c>
      <c r="G5706" s="12" t="inlineStr">
        <is>
          <t>JB-Chillers x6 (water-DI04</t>
        </is>
      </c>
      <c r="H5706" s="12" t="inlineStr">
        <is>
          <t>Chillers x6 (water-cooled)</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J-I-0037</t>
        </is>
      </c>
      <c r="B5707" s="12" t="inlineStr">
        <is>
          <t>J</t>
        </is>
      </c>
      <c r="C5707" s="12" t="inlineStr">
        <is>
          <t>GT inlet chilling</t>
        </is>
      </c>
      <c r="D5707" s="12" t="inlineStr">
        <is>
          <t>Discrete device to JB JB-Chillers x6 (water-DI05: 20 x 1 pr (field cables)</t>
        </is>
      </c>
      <c r="E5707" s="12" t="inlineStr"/>
      <c r="F5707" s="12" t="inlineStr">
        <is>
          <t>Chillers x6 (water-cooled)</t>
        </is>
      </c>
      <c r="G5707" s="12" t="inlineStr">
        <is>
          <t>JB-Chillers x6 (water-DI05</t>
        </is>
      </c>
      <c r="H5707" s="12" t="inlineStr">
        <is>
          <t>Chillers x6 (water-cooled)</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5" t="n">
        <v>190</v>
      </c>
      <c r="U5707" s="15" t="n">
        <v>10</v>
      </c>
      <c r="V5707" s="15">
        <f>ROUNDUP((T5707+U5707+2*'Read Me'!$B$13)*(1+'Read Me'!$B$12),-1)</f>
        <v/>
      </c>
      <c r="W5707" s="15">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J-I-0038</t>
        </is>
      </c>
      <c r="B5708" s="12" t="inlineStr">
        <is>
          <t>J</t>
        </is>
      </c>
      <c r="C5708" s="12" t="inlineStr">
        <is>
          <t>GT inlet chilling</t>
        </is>
      </c>
      <c r="D5708" s="12" t="inlineStr">
        <is>
          <t>Home run JB-Chillers x6 (water-DI05 to the control / marshalling room</t>
        </is>
      </c>
      <c r="E5708" s="12" t="inlineStr"/>
      <c r="F5708" s="12" t="inlineStr">
        <is>
          <t>Inlet-chilling e-house / transformer</t>
        </is>
      </c>
      <c r="G5708" s="12" t="inlineStr">
        <is>
          <t>JB-Chillers x6 (water-DI05</t>
        </is>
      </c>
      <c r="H5708" s="12" t="inlineStr">
        <is>
          <t>Chillers x6 (water-cooled)</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c r="AA5708" s="12">
        <f>N5708*O5708</f>
        <v/>
      </c>
    </row>
    <row r="5709">
      <c r="A5709" s="12" t="inlineStr">
        <is>
          <t>J-I-0039</t>
        </is>
      </c>
      <c r="B5709" s="12" t="inlineStr">
        <is>
          <t>J</t>
        </is>
      </c>
      <c r="C5709" s="12" t="inlineStr">
        <is>
          <t>GT inlet chilling</t>
        </is>
      </c>
      <c r="D5709" s="12" t="inlineStr">
        <is>
          <t>Discrete device to JB JB-Chillers x6 (water-DI06: 20 x 1 pr (field cables)</t>
        </is>
      </c>
      <c r="E5709" s="12" t="inlineStr"/>
      <c r="F5709" s="12" t="inlineStr">
        <is>
          <t>Chillers x6 (water-cooled)</t>
        </is>
      </c>
      <c r="G5709" s="12" t="inlineStr">
        <is>
          <t>JB-Chillers x6 (water-DI06</t>
        </is>
      </c>
      <c r="H5709" s="12" t="inlineStr">
        <is>
          <t>Chillers x6 (water-cooled)</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5" t="n">
        <v>190</v>
      </c>
      <c r="U5709" s="15" t="n">
        <v>10</v>
      </c>
      <c r="V5709" s="15">
        <f>ROUNDUP((T5709+U5709+2*'Read Me'!$B$13)*(1+'Read Me'!$B$12),-1)</f>
        <v/>
      </c>
      <c r="W5709" s="15">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J-I-0040</t>
        </is>
      </c>
      <c r="B5710" s="12" t="inlineStr">
        <is>
          <t>J</t>
        </is>
      </c>
      <c r="C5710" s="12" t="inlineStr">
        <is>
          <t>GT inlet chilling</t>
        </is>
      </c>
      <c r="D5710" s="12" t="inlineStr">
        <is>
          <t>Home run JB-Chillers x6 (water-DI06 to the control / marshalling room</t>
        </is>
      </c>
      <c r="E5710" s="12" t="inlineStr"/>
      <c r="F5710" s="12" t="inlineStr">
        <is>
          <t>Inlet-chilling e-house / transformer</t>
        </is>
      </c>
      <c r="G5710" s="12" t="inlineStr">
        <is>
          <t>JB-Chillers x6 (water-DI06</t>
        </is>
      </c>
      <c r="H5710" s="12" t="inlineStr">
        <is>
          <t>Chillers x6 (water-cooled)</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J-I-0041</t>
        </is>
      </c>
      <c r="B5711" s="12" t="inlineStr">
        <is>
          <t>J</t>
        </is>
      </c>
      <c r="C5711" s="12" t="inlineStr">
        <is>
          <t>GT inlet chilling</t>
        </is>
      </c>
      <c r="D5711" s="12" t="inlineStr">
        <is>
          <t>Instrumentation</t>
        </is>
      </c>
      <c r="E5711" s="12" t="inlineStr"/>
      <c r="F5711" s="12" t="inlineStr">
        <is>
          <t>Inlet-chilling e-house / transformer</t>
        </is>
      </c>
      <c r="G5711" s="12" t="inlineStr"/>
      <c r="H5711" s="12" t="inlineStr">
        <is>
          <t>Inlet-chilling e-house / transformer</t>
        </is>
      </c>
      <c r="I5711" s="12" t="inlineStr">
        <is>
          <t>Instrumentation</t>
        </is>
      </c>
      <c r="J5711" s="12" t="inlineStr">
        <is>
          <t>Instrumentation PLTC / TC-ER 300 V, #18 twisted shielded pairs, overall shield</t>
        </is>
      </c>
      <c r="K5711" s="12" t="inlineStr">
        <is>
          <t>PLTC|4 pr|18</t>
        </is>
      </c>
      <c r="L5711" s="12" t="inlineStr">
        <is>
          <t>4 pr</t>
        </is>
      </c>
      <c r="M5711" s="12" t="inlineStr">
        <is>
          <t>18</t>
        </is>
      </c>
      <c r="N5711" s="12" t="n">
        <v>1</v>
      </c>
      <c r="O5711" s="12" t="n">
        <v>1</v>
      </c>
      <c r="P5711" s="12" t="n"/>
      <c r="Q5711" s="12" t="n"/>
      <c r="R5711" s="12" t="n"/>
      <c r="S5711" s="12" t="inlineStr">
        <is>
          <t>Tray</t>
        </is>
      </c>
      <c r="T5711" s="15" t="n">
        <v>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c r="AA5711" s="12">
        <f>N5711*O5711</f>
        <v/>
      </c>
    </row>
    <row r="5712">
      <c r="A5712" s="12" t="inlineStr">
        <is>
          <t>J-I-0042</t>
        </is>
      </c>
      <c r="B5712" s="12" t="inlineStr">
        <is>
          <t>J</t>
        </is>
      </c>
      <c r="C5712" s="12" t="inlineStr">
        <is>
          <t>GT inlet chilling</t>
        </is>
      </c>
      <c r="D5712" s="12" t="inlineStr">
        <is>
          <t>Analog instrument to JB JB-Inlet-chilling tow-AI01: 12 x 1 pr (field cables)</t>
        </is>
      </c>
      <c r="E5712" s="12" t="inlineStr"/>
      <c r="F5712" s="12" t="inlineStr">
        <is>
          <t>Inlet-chilling tower (12 cells): chiller heat rejection</t>
        </is>
      </c>
      <c r="G5712" s="12" t="inlineStr">
        <is>
          <t>JB-Inlet-chilling tow-AI01</t>
        </is>
      </c>
      <c r="H5712" s="12" t="inlineStr">
        <is>
          <t>Inlet-chilling tower (12 cells): chiller heat rejection</t>
        </is>
      </c>
      <c r="I5712" s="12" t="inlineStr">
        <is>
          <t>Instrumentation</t>
        </is>
      </c>
      <c r="J5712" s="12" t="inlineStr">
        <is>
          <t>Instrumentation PLTC / TC-ER 300 V, #18 twisted shielded pairs, overall shield</t>
        </is>
      </c>
      <c r="K5712" s="12" t="inlineStr">
        <is>
          <t>PLTC|1 pr|16</t>
        </is>
      </c>
      <c r="L5712" s="12" t="inlineStr">
        <is>
          <t>1 pr</t>
        </is>
      </c>
      <c r="M5712" s="12" t="inlineStr">
        <is>
          <t>16</t>
        </is>
      </c>
      <c r="N5712" s="12" t="n">
        <v>12</v>
      </c>
      <c r="O5712" s="12" t="n">
        <v>1</v>
      </c>
      <c r="P5712" s="12" t="n"/>
      <c r="Q5712" s="12" t="n"/>
      <c r="R5712" s="12" t="n"/>
      <c r="S5712" s="12" t="inlineStr">
        <is>
          <t>Tray / conduit</t>
        </is>
      </c>
      <c r="T5712" s="15" t="n">
        <v>205</v>
      </c>
      <c r="U5712" s="15" t="n">
        <v>10</v>
      </c>
      <c r="V5712" s="15">
        <f>ROUNDUP((T5712+U5712+2*'Read Me'!$B$13)*(1+'Read Me'!$B$12),-1)</f>
        <v/>
      </c>
      <c r="W5712" s="15">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J-I-0043</t>
        </is>
      </c>
      <c r="B5713" s="12" t="inlineStr">
        <is>
          <t>J</t>
        </is>
      </c>
      <c r="C5713" s="12" t="inlineStr">
        <is>
          <t>GT inlet chilling</t>
        </is>
      </c>
      <c r="D5713" s="12" t="inlineStr">
        <is>
          <t>Home run JB-Inlet-chilling tow-AI01 to the control / marshalling room</t>
        </is>
      </c>
      <c r="E5713" s="12" t="inlineStr"/>
      <c r="F5713" s="12" t="inlineStr">
        <is>
          <t>Inlet-chilling e-house / transformer</t>
        </is>
      </c>
      <c r="G5713" s="12" t="inlineStr">
        <is>
          <t>JB-Inlet-chilling tow-AI01</t>
        </is>
      </c>
      <c r="H5713" s="12" t="inlineStr">
        <is>
          <t>Inlet-chilling tower (12 cells): chiller heat rejection</t>
        </is>
      </c>
      <c r="I5713" s="12" t="inlineStr">
        <is>
          <t>Instrumentation</t>
        </is>
      </c>
      <c r="J5713" s="12" t="inlineStr">
        <is>
          <t>Instrumentation PLTC / TC-ER 300 V, #18 twisted shielded pairs, overall shield</t>
        </is>
      </c>
      <c r="K5713" s="12" t="inlineStr">
        <is>
          <t>PLTC|24 pr|18</t>
        </is>
      </c>
      <c r="L5713" s="12" t="inlineStr">
        <is>
          <t>24 pr</t>
        </is>
      </c>
      <c r="M5713" s="12" t="inlineStr">
        <is>
          <t>18</t>
        </is>
      </c>
      <c r="N5713" s="12" t="n">
        <v>1</v>
      </c>
      <c r="O5713" s="12" t="n">
        <v>1</v>
      </c>
      <c r="P5713" s="12" t="n"/>
      <c r="Q5713" s="12" t="n"/>
      <c r="R5713" s="12" t="n"/>
      <c r="S5713" s="12" t="inlineStr">
        <is>
          <t>Duct bank</t>
        </is>
      </c>
      <c r="T5713" s="15" t="n">
        <v>478</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c r="AA5713" s="12">
        <f>N5713*O5713</f>
        <v/>
      </c>
    </row>
    <row r="5714">
      <c r="A5714" s="12" t="inlineStr">
        <is>
          <t>J-I-0044</t>
        </is>
      </c>
      <c r="B5714" s="12" t="inlineStr">
        <is>
          <t>J</t>
        </is>
      </c>
      <c r="C5714" s="12" t="inlineStr">
        <is>
          <t>GT inlet chilling</t>
        </is>
      </c>
      <c r="D5714" s="12" t="inlineStr">
        <is>
          <t>Discrete device to JB JB-Inlet-chilling tow-DI01: 20 x 1 pr (field cables)</t>
        </is>
      </c>
      <c r="E5714" s="12" t="inlineStr"/>
      <c r="F5714" s="12" t="inlineStr">
        <is>
          <t>Inlet-chilling tower (12 cells): chiller heat rejection</t>
        </is>
      </c>
      <c r="G5714" s="12" t="inlineStr">
        <is>
          <t>JB-Inlet-chilling tow-DI01</t>
        </is>
      </c>
      <c r="H5714" s="12" t="inlineStr">
        <is>
          <t>Inlet-chilling tower (12 cells): chiller heat rejection</t>
        </is>
      </c>
      <c r="I5714" s="12" t="inlineStr">
        <is>
          <t>Instrumentation</t>
        </is>
      </c>
      <c r="J5714" s="12" t="inlineStr">
        <is>
          <t>Instrumentation PLTC / TC-ER 300 V, #18 twisted shielded pairs, overall shield</t>
        </is>
      </c>
      <c r="K5714" s="12" t="inlineStr">
        <is>
          <t>PLTC|1 pr|16</t>
        </is>
      </c>
      <c r="L5714" s="12" t="inlineStr">
        <is>
          <t>1 pr</t>
        </is>
      </c>
      <c r="M5714" s="12" t="inlineStr">
        <is>
          <t>16</t>
        </is>
      </c>
      <c r="N5714" s="12" t="n">
        <v>20</v>
      </c>
      <c r="O5714" s="12" t="n">
        <v>1</v>
      </c>
      <c r="P5714" s="12" t="n"/>
      <c r="Q5714" s="12" t="n"/>
      <c r="R5714" s="12" t="n"/>
      <c r="S5714" s="12" t="inlineStr">
        <is>
          <t>Tray / conduit</t>
        </is>
      </c>
      <c r="T5714" s="15" t="n">
        <v>205</v>
      </c>
      <c r="U5714" s="15" t="n">
        <v>10</v>
      </c>
      <c r="V5714" s="15">
        <f>ROUNDUP((T5714+U5714+2*'Read Me'!$B$13)*(1+'Read Me'!$B$12),-1)</f>
        <v/>
      </c>
      <c r="W5714" s="15">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J-I-0045</t>
        </is>
      </c>
      <c r="B5715" s="12" t="inlineStr">
        <is>
          <t>J</t>
        </is>
      </c>
      <c r="C5715" s="12" t="inlineStr">
        <is>
          <t>GT inlet chilling</t>
        </is>
      </c>
      <c r="D5715" s="12" t="inlineStr">
        <is>
          <t>Home run JB-Inlet-chilling tow-DI01 to the control / marshalling room</t>
        </is>
      </c>
      <c r="E5715" s="12" t="inlineStr"/>
      <c r="F5715" s="12" t="inlineStr">
        <is>
          <t>Inlet-chilling e-house / transformer</t>
        </is>
      </c>
      <c r="G5715" s="12" t="inlineStr">
        <is>
          <t>JB-Inlet-chilling tow-DI01</t>
        </is>
      </c>
      <c r="H5715" s="12" t="inlineStr">
        <is>
          <t>Inlet-chilling tower (12 cells): chiller heat rejection</t>
        </is>
      </c>
      <c r="I5715" s="12" t="inlineStr">
        <is>
          <t>Instrumentation</t>
        </is>
      </c>
      <c r="J5715" s="12" t="inlineStr">
        <is>
          <t>Instrumentation PLTC / TC-ER 300 V, #18 twisted shielded pairs, overall shield</t>
        </is>
      </c>
      <c r="K5715" s="12" t="inlineStr">
        <is>
          <t>PLTC|24 pr|18</t>
        </is>
      </c>
      <c r="L5715" s="12" t="inlineStr">
        <is>
          <t>24 pr</t>
        </is>
      </c>
      <c r="M5715" s="12" t="inlineStr">
        <is>
          <t>18</t>
        </is>
      </c>
      <c r="N5715" s="12" t="n">
        <v>1</v>
      </c>
      <c r="O5715" s="12" t="n">
        <v>1</v>
      </c>
      <c r="P5715" s="12" t="n"/>
      <c r="Q5715" s="12" t="n"/>
      <c r="R5715" s="12" t="n"/>
      <c r="S5715" s="12" t="inlineStr">
        <is>
          <t>Duct bank</t>
        </is>
      </c>
      <c r="T5715" s="15" t="n">
        <v>478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c r="AA5715" s="12">
        <f>N5715*O5715</f>
        <v/>
      </c>
    </row>
    <row r="5716">
      <c r="A5716" s="12" t="inlineStr">
        <is>
          <t>J-I-0046</t>
        </is>
      </c>
      <c r="B5716" s="12" t="inlineStr">
        <is>
          <t>J</t>
        </is>
      </c>
      <c r="C5716" s="12" t="inlineStr">
        <is>
          <t>GT inlet chilling</t>
        </is>
      </c>
      <c r="D5716" s="12" t="inlineStr">
        <is>
          <t>Discrete device to JB JB-Inlet-chilling tow-DI02: 4 x 1 pr (field cables)</t>
        </is>
      </c>
      <c r="E5716" s="12" t="inlineStr"/>
      <c r="F5716" s="12" t="inlineStr">
        <is>
          <t>Inlet-chilling tower (12 cells): chiller heat rejection</t>
        </is>
      </c>
      <c r="G5716" s="12" t="inlineStr">
        <is>
          <t>JB-Inlet-chilling tow-DI02</t>
        </is>
      </c>
      <c r="H5716" s="12" t="inlineStr">
        <is>
          <t>Inlet-chilling tower (12 cells): chiller heat rejection</t>
        </is>
      </c>
      <c r="I5716" s="12" t="inlineStr">
        <is>
          <t>Instrumentation</t>
        </is>
      </c>
      <c r="J5716" s="12" t="inlineStr">
        <is>
          <t>Instrumentation PLTC / TC-ER 300 V, #18 twisted shielded pairs, overall shield</t>
        </is>
      </c>
      <c r="K5716" s="12" t="inlineStr">
        <is>
          <t>PLTC|1 pr|16</t>
        </is>
      </c>
      <c r="L5716" s="12" t="inlineStr">
        <is>
          <t>1 pr</t>
        </is>
      </c>
      <c r="M5716" s="12" t="inlineStr">
        <is>
          <t>16</t>
        </is>
      </c>
      <c r="N5716" s="12" t="n">
        <v>4</v>
      </c>
      <c r="O5716" s="12" t="n">
        <v>1</v>
      </c>
      <c r="P5716" s="12" t="n"/>
      <c r="Q5716" s="12" t="n"/>
      <c r="R5716" s="12" t="n"/>
      <c r="S5716" s="12" t="inlineStr">
        <is>
          <t>Tray / conduit</t>
        </is>
      </c>
      <c r="T5716" s="15" t="n">
        <v>205</v>
      </c>
      <c r="U5716" s="15" t="n">
        <v>10</v>
      </c>
      <c r="V5716" s="15">
        <f>ROUNDUP((T5716+U5716+2*'Read Me'!$B$13)*(1+'Read Me'!$B$12),-1)</f>
        <v/>
      </c>
      <c r="W5716" s="15">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J-I-0047</t>
        </is>
      </c>
      <c r="B5717" s="12" t="inlineStr">
        <is>
          <t>J</t>
        </is>
      </c>
      <c r="C5717" s="12" t="inlineStr">
        <is>
          <t>GT inlet chilling</t>
        </is>
      </c>
      <c r="D5717" s="12" t="inlineStr">
        <is>
          <t>Home run JB-Inlet-chilling tow-DI02 to the control / marshalling room</t>
        </is>
      </c>
      <c r="E5717" s="12" t="inlineStr"/>
      <c r="F5717" s="12" t="inlineStr">
        <is>
          <t>Inlet-chilling e-house / transformer</t>
        </is>
      </c>
      <c r="G5717" s="12" t="inlineStr">
        <is>
          <t>JB-Inlet-chilling tow-DI02</t>
        </is>
      </c>
      <c r="H5717" s="12" t="inlineStr">
        <is>
          <t>Inlet-chilling tower (12 cells): chiller heat rejection</t>
        </is>
      </c>
      <c r="I5717" s="12" t="inlineStr">
        <is>
          <t>Instrumentation</t>
        </is>
      </c>
      <c r="J5717" s="12" t="inlineStr">
        <is>
          <t>Instrumentation PLTC / TC-ER 300 V, #18 twisted shielded pairs, overall shield</t>
        </is>
      </c>
      <c r="K5717" s="12" t="inlineStr">
        <is>
          <t>PLTC|24 pr|18</t>
        </is>
      </c>
      <c r="L5717" s="12" t="inlineStr">
        <is>
          <t>24 pr</t>
        </is>
      </c>
      <c r="M5717" s="12" t="inlineStr">
        <is>
          <t>18</t>
        </is>
      </c>
      <c r="N5717" s="12" t="n">
        <v>1</v>
      </c>
      <c r="O5717" s="12" t="n">
        <v>1</v>
      </c>
      <c r="P5717" s="12" t="n"/>
      <c r="Q5717" s="12" t="n"/>
      <c r="R5717" s="12" t="n"/>
      <c r="S5717" s="12" t="inlineStr">
        <is>
          <t>Duct bank</t>
        </is>
      </c>
      <c r="T5717" s="15" t="n">
        <v>478</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J-P-0001</t>
        </is>
      </c>
      <c r="B5718" s="12" t="inlineStr">
        <is>
          <t>J</t>
        </is>
      </c>
      <c r="C5718" s="12" t="inlineStr">
        <is>
          <t>GT inlet chilling</t>
        </is>
      </c>
      <c r="D5718" s="12" t="inlineStr">
        <is>
          <t>Motor 1 of 4, 150 kW</t>
        </is>
      </c>
      <c r="E5718" s="12" t="inlineStr"/>
      <c r="F5718" s="12" t="inlineStr">
        <is>
          <t>Inlet-chilling e-house / transformer</t>
        </is>
      </c>
      <c r="G5718" s="12" t="inlineStr"/>
      <c r="H5718" s="12" t="inlineStr">
        <is>
          <t>CHW pumps</t>
        </is>
      </c>
      <c r="I5718" s="12" t="inlineStr">
        <is>
          <t>LV 600 V</t>
        </is>
      </c>
      <c r="J5718" s="12" t="inlineStr">
        <is>
          <t>Type TC-ER 600 V 3/C Cu XHHW-2 + ground, PVC jacket</t>
        </is>
      </c>
      <c r="K5718" s="12" t="inlineStr">
        <is>
          <t>LV|3/C+G|350</t>
        </is>
      </c>
      <c r="L5718" s="12" t="inlineStr">
        <is>
          <t>3/C+G</t>
        </is>
      </c>
      <c r="M5718" s="12" t="inlineStr">
        <is>
          <t>350 kcmil</t>
        </is>
      </c>
      <c r="N5718" s="12" t="n">
        <v>1</v>
      </c>
      <c r="O5718" s="12" t="n">
        <v>1</v>
      </c>
      <c r="P5718" s="12" t="n">
        <v>480</v>
      </c>
      <c r="Q5718" s="12" t="n">
        <v>150</v>
      </c>
      <c r="R5718" s="12" t="n">
        <v>212.3</v>
      </c>
      <c r="S5718" s="12" t="inlineStr">
        <is>
          <t>Duct bank</t>
        </is>
      </c>
      <c r="T5718" s="15" t="n">
        <v>579</v>
      </c>
      <c r="U5718" s="15" t="n">
        <v>32</v>
      </c>
      <c r="V5718" s="15">
        <f>ROUNDUP((T5718+U5718+2*'Read Me'!$B$13)*(1+'Read Me'!$B$12),-1)</f>
        <v/>
      </c>
      <c r="W5718" s="15">
        <f>V5718*N5718*O5718</f>
        <v/>
      </c>
      <c r="X5718" s="12">
        <f>IF(LEFT(I5718,2)="MV",2*N5718*IF(L5718="1/C",O5718,1),0)</f>
        <v/>
      </c>
      <c r="Y5718" s="12">
        <f>IF(OR(LEFT(K5718,4)="LVAX",LEFT(K5718,6)="MV15AX",LEFT(K5718,4)="CTAX",LEFT(K5718,2)="W|"),2*N5718*O5718,0)</f>
        <v/>
      </c>
      <c r="Z5718" s="12" t="inlineStr">
        <is>
          <t>VD 1.9 %</t>
        </is>
      </c>
      <c r="AA5718" s="12">
        <f>N5718*O5718</f>
        <v/>
      </c>
    </row>
    <row r="5719">
      <c r="A5719" s="12" t="inlineStr">
        <is>
          <t>J-P-0002</t>
        </is>
      </c>
      <c r="B5719" s="12" t="inlineStr">
        <is>
          <t>J</t>
        </is>
      </c>
      <c r="C5719" s="12" t="inlineStr">
        <is>
          <t>GT inlet chilling</t>
        </is>
      </c>
      <c r="D5719" s="12" t="inlineStr">
        <is>
          <t>Motor 2 of 4, 150 kW</t>
        </is>
      </c>
      <c r="E5719" s="12" t="inlineStr"/>
      <c r="F5719" s="12" t="inlineStr">
        <is>
          <t>Inlet-chilling e-house / transformer</t>
        </is>
      </c>
      <c r="G5719" s="12" t="inlineStr"/>
      <c r="H5719" s="12" t="inlineStr">
        <is>
          <t>CHW pumps</t>
        </is>
      </c>
      <c r="I5719" s="12" t="inlineStr">
        <is>
          <t>LV 600 V</t>
        </is>
      </c>
      <c r="J5719" s="12" t="inlineStr">
        <is>
          <t>Type TC-ER 600 V 3/C Cu XHHW-2 + ground, PVC jacket</t>
        </is>
      </c>
      <c r="K5719" s="12" t="inlineStr">
        <is>
          <t>LV|3/C+G|350</t>
        </is>
      </c>
      <c r="L5719" s="12" t="inlineStr">
        <is>
          <t>3/C+G</t>
        </is>
      </c>
      <c r="M5719" s="12" t="inlineStr">
        <is>
          <t>350 kcmil</t>
        </is>
      </c>
      <c r="N5719" s="12" t="n">
        <v>1</v>
      </c>
      <c r="O5719" s="12" t="n">
        <v>1</v>
      </c>
      <c r="P5719" s="12" t="n">
        <v>480</v>
      </c>
      <c r="Q5719" s="12" t="n">
        <v>150</v>
      </c>
      <c r="R5719" s="12" t="n">
        <v>212.3</v>
      </c>
      <c r="S5719" s="12" t="inlineStr">
        <is>
          <t>Duct bank</t>
        </is>
      </c>
      <c r="T5719" s="15" t="n">
        <v>579</v>
      </c>
      <c r="U5719" s="15" t="n">
        <v>32</v>
      </c>
      <c r="V5719" s="15">
        <f>ROUNDUP((T5719+U5719+2*'Read Me'!$B$13)*(1+'Read Me'!$B$12),-1)</f>
        <v/>
      </c>
      <c r="W5719" s="15">
        <f>V5719*N5719*O5719</f>
        <v/>
      </c>
      <c r="X5719" s="12">
        <f>IF(LEFT(I5719,2)="MV",2*N5719*IF(L5719="1/C",O5719,1),0)</f>
        <v/>
      </c>
      <c r="Y5719" s="12">
        <f>IF(OR(LEFT(K5719,4)="LVAX",LEFT(K5719,6)="MV15AX",LEFT(K5719,4)="CTAX",LEFT(K5719,2)="W|"),2*N5719*O5719,0)</f>
        <v/>
      </c>
      <c r="Z5719" s="12" t="inlineStr">
        <is>
          <t>VD 1.9 %</t>
        </is>
      </c>
      <c r="AA5719" s="12">
        <f>N5719*O5719</f>
        <v/>
      </c>
    </row>
    <row r="5720">
      <c r="A5720" s="12" t="inlineStr">
        <is>
          <t>J-P-0003</t>
        </is>
      </c>
      <c r="B5720" s="12" t="inlineStr">
        <is>
          <t>J</t>
        </is>
      </c>
      <c r="C5720" s="12" t="inlineStr">
        <is>
          <t>GT inlet chilling</t>
        </is>
      </c>
      <c r="D5720" s="12" t="inlineStr">
        <is>
          <t>Motor 3 of 4, 150 kW</t>
        </is>
      </c>
      <c r="E5720" s="12" t="inlineStr"/>
      <c r="F5720" s="12" t="inlineStr">
        <is>
          <t>Inlet-chilling e-house / transformer</t>
        </is>
      </c>
      <c r="G5720" s="12" t="inlineStr"/>
      <c r="H5720" s="12" t="inlineStr">
        <is>
          <t>CHW pumps</t>
        </is>
      </c>
      <c r="I5720" s="12" t="inlineStr">
        <is>
          <t>LV 600 V</t>
        </is>
      </c>
      <c r="J5720" s="12" t="inlineStr">
        <is>
          <t>Type TC-ER 600 V 3/C Cu XHHW-2 + ground, PVC jacket</t>
        </is>
      </c>
      <c r="K5720" s="12" t="inlineStr">
        <is>
          <t>LV|3/C+G|350</t>
        </is>
      </c>
      <c r="L5720" s="12" t="inlineStr">
        <is>
          <t>3/C+G</t>
        </is>
      </c>
      <c r="M5720" s="12" t="inlineStr">
        <is>
          <t>350 kcmil</t>
        </is>
      </c>
      <c r="N5720" s="12" t="n">
        <v>1</v>
      </c>
      <c r="O5720" s="12" t="n">
        <v>1</v>
      </c>
      <c r="P5720" s="12" t="n">
        <v>480</v>
      </c>
      <c r="Q5720" s="12" t="n">
        <v>150</v>
      </c>
      <c r="R5720" s="12" t="n">
        <v>212.3</v>
      </c>
      <c r="S5720" s="12" t="inlineStr">
        <is>
          <t>Duct bank</t>
        </is>
      </c>
      <c r="T5720" s="15" t="n">
        <v>579</v>
      </c>
      <c r="U5720" s="15" t="n">
        <v>32</v>
      </c>
      <c r="V5720" s="15">
        <f>ROUNDUP((T5720+U5720+2*'Read Me'!$B$13)*(1+'Read Me'!$B$12),-1)</f>
        <v/>
      </c>
      <c r="W5720" s="15">
        <f>V5720*N5720*O5720</f>
        <v/>
      </c>
      <c r="X5720" s="12">
        <f>IF(LEFT(I5720,2)="MV",2*N5720*IF(L5720="1/C",O5720,1),0)</f>
        <v/>
      </c>
      <c r="Y5720" s="12">
        <f>IF(OR(LEFT(K5720,4)="LVAX",LEFT(K5720,6)="MV15AX",LEFT(K5720,4)="CTAX",LEFT(K5720,2)="W|"),2*N5720*O5720,0)</f>
        <v/>
      </c>
      <c r="Z5720" s="12" t="inlineStr">
        <is>
          <t>VD 1.9 %</t>
        </is>
      </c>
      <c r="AA5720" s="12">
        <f>N5720*O5720</f>
        <v/>
      </c>
    </row>
    <row r="5721">
      <c r="A5721" s="12" t="inlineStr">
        <is>
          <t>J-P-0004</t>
        </is>
      </c>
      <c r="B5721" s="12" t="inlineStr">
        <is>
          <t>J</t>
        </is>
      </c>
      <c r="C5721" s="12" t="inlineStr">
        <is>
          <t>GT inlet chilling</t>
        </is>
      </c>
      <c r="D5721" s="12" t="inlineStr">
        <is>
          <t>Motor 4 of 4, 150 kW</t>
        </is>
      </c>
      <c r="E5721" s="12" t="inlineStr"/>
      <c r="F5721" s="12" t="inlineStr">
        <is>
          <t>Inlet-chilling e-house / transformer</t>
        </is>
      </c>
      <c r="G5721" s="12" t="inlineStr"/>
      <c r="H5721" s="12" t="inlineStr">
        <is>
          <t>CHW pumps</t>
        </is>
      </c>
      <c r="I5721" s="12" t="inlineStr">
        <is>
          <t>LV 600 V</t>
        </is>
      </c>
      <c r="J5721" s="12" t="inlineStr">
        <is>
          <t>Type TC-ER 600 V 3/C Cu XHHW-2 + ground, PVC jacket</t>
        </is>
      </c>
      <c r="K5721" s="12" t="inlineStr">
        <is>
          <t>LV|3/C+G|350</t>
        </is>
      </c>
      <c r="L5721" s="12" t="inlineStr">
        <is>
          <t>3/C+G</t>
        </is>
      </c>
      <c r="M5721" s="12" t="inlineStr">
        <is>
          <t>350 kcmil</t>
        </is>
      </c>
      <c r="N5721" s="12" t="n">
        <v>1</v>
      </c>
      <c r="O5721" s="12" t="n">
        <v>1</v>
      </c>
      <c r="P5721" s="12" t="n">
        <v>480</v>
      </c>
      <c r="Q5721" s="12" t="n">
        <v>150</v>
      </c>
      <c r="R5721" s="12" t="n">
        <v>212.3</v>
      </c>
      <c r="S5721" s="12" t="inlineStr">
        <is>
          <t>Duct bank</t>
        </is>
      </c>
      <c r="T5721" s="15" t="n">
        <v>579</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is>
          <t>VD 1.9 %</t>
        </is>
      </c>
      <c r="AA5721" s="12">
        <f>N5721*O5721</f>
        <v/>
      </c>
    </row>
    <row r="5722">
      <c r="A5722" s="12" t="inlineStr">
        <is>
          <t>J-P-0005</t>
        </is>
      </c>
      <c r="B5722" s="12" t="inlineStr">
        <is>
          <t>J</t>
        </is>
      </c>
      <c r="C5722" s="12" t="inlineStr">
        <is>
          <t>GT inlet chilling</t>
        </is>
      </c>
      <c r="D5722" s="12" t="inlineStr">
        <is>
          <t>LV power feeder</t>
        </is>
      </c>
      <c r="E5722" s="12" t="inlineStr"/>
      <c r="F5722" s="12" t="inlineStr">
        <is>
          <t>Inlet-chilling e-house / transformer</t>
        </is>
      </c>
      <c r="G5722" s="12" t="inlineStr"/>
      <c r="H5722" s="12" t="inlineStr">
        <is>
          <t>CONDITIONAL: TES chilled-water tank</t>
        </is>
      </c>
      <c r="I5722" s="12" t="inlineStr">
        <is>
          <t>LV 600 V</t>
        </is>
      </c>
      <c r="J5722" s="12" t="inlineStr">
        <is>
          <t>Type TC-ER 600 V 3/C Cu XHHW-2 + ground, PVC jacket</t>
        </is>
      </c>
      <c r="K5722" s="12" t="inlineStr">
        <is>
          <t>LV|3/C+G|8</t>
        </is>
      </c>
      <c r="L5722" s="12" t="inlineStr">
        <is>
          <t>3/C+G</t>
        </is>
      </c>
      <c r="M5722" s="12" t="inlineStr">
        <is>
          <t>8</t>
        </is>
      </c>
      <c r="N5722" s="12" t="n">
        <v>1</v>
      </c>
      <c r="O5722" s="12" t="n">
        <v>1</v>
      </c>
      <c r="P5722" s="12" t="n">
        <v>480</v>
      </c>
      <c r="Q5722" s="12" t="n">
        <v>10</v>
      </c>
      <c r="R5722" s="12" t="n">
        <v>14.2</v>
      </c>
      <c r="S5722" s="12" t="inlineStr">
        <is>
          <t>Duct bank</t>
        </is>
      </c>
      <c r="T5722" s="15" t="n">
        <v>271</v>
      </c>
      <c r="U5722" s="15" t="n">
        <v>217</v>
      </c>
      <c r="V5722" s="15">
        <f>ROUNDUP((T5722+U5722+2*'Read Me'!$B$13)*(1+'Read Me'!$B$12),-1)</f>
        <v/>
      </c>
      <c r="W5722" s="15">
        <f>V5722*N5722*O5722</f>
        <v/>
      </c>
      <c r="X5722" s="12">
        <f>IF(LEFT(I5722,2)="MV",2*N5722*IF(L5722="1/C",O5722,1),0)</f>
        <v/>
      </c>
      <c r="Y5722" s="12">
        <f>IF(OR(LEFT(K5722,4)="LVAX",LEFT(K5722,6)="MV15AX",LEFT(K5722,4)="CTAX",LEFT(K5722,2)="W|"),2*N5722*O5722,0)</f>
        <v/>
      </c>
      <c r="Z5722" s="12" t="inlineStr">
        <is>
          <t>VD 2.1 %</t>
        </is>
      </c>
      <c r="AA5722" s="12">
        <f>N5722*O5722</f>
        <v/>
      </c>
    </row>
    <row r="5723">
      <c r="A5723" s="12" t="inlineStr">
        <is>
          <t>J-P-0006</t>
        </is>
      </c>
      <c r="B5723" s="12" t="inlineStr">
        <is>
          <t>J</t>
        </is>
      </c>
      <c r="C5723" s="12" t="inlineStr">
        <is>
          <t>GT inlet chilling</t>
        </is>
      </c>
      <c r="D5723" s="12" t="inlineStr">
        <is>
          <t>Motor 1 of 6, 7 kW</t>
        </is>
      </c>
      <c r="E5723" s="12" t="inlineStr"/>
      <c r="F5723" s="12" t="inlineStr">
        <is>
          <t>Inlet-chilling e-house / transformer</t>
        </is>
      </c>
      <c r="G5723" s="12" t="inlineStr"/>
      <c r="H5723" s="12" t="inlineStr">
        <is>
          <t>Chillers x6 (water-cooled)</t>
        </is>
      </c>
      <c r="I5723" s="12" t="inlineStr">
        <is>
          <t>LV 600 V</t>
        </is>
      </c>
      <c r="J5723" s="12" t="inlineStr">
        <is>
          <t>Type TC-ER 600 V 3/C Cu XHHW-2 + ground, PVC jacket</t>
        </is>
      </c>
      <c r="K5723" s="12" t="inlineStr">
        <is>
          <t>LV|3/C+G|10</t>
        </is>
      </c>
      <c r="L5723" s="12" t="inlineStr">
        <is>
          <t>3/C+G</t>
        </is>
      </c>
      <c r="M5723" s="12" t="inlineStr">
        <is>
          <t>10</t>
        </is>
      </c>
      <c r="N5723" s="12" t="n">
        <v>1</v>
      </c>
      <c r="O5723" s="12" t="n">
        <v>1</v>
      </c>
      <c r="P5723" s="12" t="n">
        <v>480</v>
      </c>
      <c r="Q5723" s="12" t="n">
        <v>7</v>
      </c>
      <c r="R5723" s="12" t="n">
        <v>9.9</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is>
          <t>VD 0.2 %</t>
        </is>
      </c>
      <c r="AA5723" s="12">
        <f>N5723*O5723</f>
        <v/>
      </c>
    </row>
    <row r="5724">
      <c r="A5724" s="12" t="inlineStr">
        <is>
          <t>J-P-0007</t>
        </is>
      </c>
      <c r="B5724" s="12" t="inlineStr">
        <is>
          <t>J</t>
        </is>
      </c>
      <c r="C5724" s="12" t="inlineStr">
        <is>
          <t>GT inlet chilling</t>
        </is>
      </c>
      <c r="D5724" s="12" t="inlineStr">
        <is>
          <t>Motor 2 of 6, 7 kW</t>
        </is>
      </c>
      <c r="E5724" s="12" t="inlineStr"/>
      <c r="F5724" s="12" t="inlineStr">
        <is>
          <t>Inlet-chilling e-house / transformer</t>
        </is>
      </c>
      <c r="G5724" s="12" t="inlineStr"/>
      <c r="H5724" s="12" t="inlineStr">
        <is>
          <t>Chillers x6 (water-cooled)</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7</v>
      </c>
      <c r="R5724" s="12" t="n">
        <v>9.9</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is>
          <t>VD 0.2 %</t>
        </is>
      </c>
      <c r="AA5724" s="12">
        <f>N5724*O5724</f>
        <v/>
      </c>
    </row>
    <row r="5725">
      <c r="A5725" s="12" t="inlineStr">
        <is>
          <t>J-P-0008</t>
        </is>
      </c>
      <c r="B5725" s="12" t="inlineStr">
        <is>
          <t>J</t>
        </is>
      </c>
      <c r="C5725" s="12" t="inlineStr">
        <is>
          <t>GT inlet chilling</t>
        </is>
      </c>
      <c r="D5725" s="12" t="inlineStr">
        <is>
          <t>Motor 3 of 6, 7 kW</t>
        </is>
      </c>
      <c r="E5725" s="12" t="inlineStr"/>
      <c r="F5725" s="12" t="inlineStr">
        <is>
          <t>Inlet-chilling e-house / transformer</t>
        </is>
      </c>
      <c r="G5725" s="12" t="inlineStr"/>
      <c r="H5725" s="12" t="inlineStr">
        <is>
          <t>Chillers x6 (water-cooled)</t>
        </is>
      </c>
      <c r="I5725" s="12" t="inlineStr">
        <is>
          <t>LV 600 V</t>
        </is>
      </c>
      <c r="J5725" s="12" t="inlineStr">
        <is>
          <t>Type TC-ER 600 V 3/C Cu XHHW-2 + ground, PVC jacket</t>
        </is>
      </c>
      <c r="K5725" s="12" t="inlineStr">
        <is>
          <t>LV|3/C+G|10</t>
        </is>
      </c>
      <c r="L5725" s="12" t="inlineStr">
        <is>
          <t>3/C+G</t>
        </is>
      </c>
      <c r="M5725" s="12" t="inlineStr">
        <is>
          <t>10</t>
        </is>
      </c>
      <c r="N5725" s="12" t="n">
        <v>1</v>
      </c>
      <c r="O5725" s="12" t="n">
        <v>1</v>
      </c>
      <c r="P5725" s="12" t="n">
        <v>480</v>
      </c>
      <c r="Q5725" s="12" t="n">
        <v>7</v>
      </c>
      <c r="R5725" s="12" t="n">
        <v>9.9</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is>
          <t>VD 0.2 %</t>
        </is>
      </c>
      <c r="AA5725" s="12">
        <f>N5725*O5725</f>
        <v/>
      </c>
    </row>
    <row r="5726">
      <c r="A5726" s="12" t="inlineStr">
        <is>
          <t>J-P-0009</t>
        </is>
      </c>
      <c r="B5726" s="12" t="inlineStr">
        <is>
          <t>J</t>
        </is>
      </c>
      <c r="C5726" s="12" t="inlineStr">
        <is>
          <t>GT inlet chilling</t>
        </is>
      </c>
      <c r="D5726" s="12" t="inlineStr">
        <is>
          <t>Motor 4 of 6, 7 kW</t>
        </is>
      </c>
      <c r="E5726" s="12" t="inlineStr"/>
      <c r="F5726" s="12" t="inlineStr">
        <is>
          <t>Inlet-chilling e-house / transformer</t>
        </is>
      </c>
      <c r="G5726" s="12" t="inlineStr"/>
      <c r="H5726" s="12" t="inlineStr">
        <is>
          <t>Chillers x6 (water-cooled)</t>
        </is>
      </c>
      <c r="I5726" s="12" t="inlineStr">
        <is>
          <t>LV 600 V</t>
        </is>
      </c>
      <c r="J5726" s="12" t="inlineStr">
        <is>
          <t>Type TC-ER 600 V 3/C Cu XHHW-2 + ground, PVC jacket</t>
        </is>
      </c>
      <c r="K5726" s="12" t="inlineStr">
        <is>
          <t>LV|3/C+G|10</t>
        </is>
      </c>
      <c r="L5726" s="12" t="inlineStr">
        <is>
          <t>3/C+G</t>
        </is>
      </c>
      <c r="M5726" s="12" t="inlineStr">
        <is>
          <t>10</t>
        </is>
      </c>
      <c r="N5726" s="12" t="n">
        <v>1</v>
      </c>
      <c r="O5726" s="12" t="n">
        <v>1</v>
      </c>
      <c r="P5726" s="12" t="n">
        <v>480</v>
      </c>
      <c r="Q5726" s="12" t="n">
        <v>7</v>
      </c>
      <c r="R5726" s="12" t="n">
        <v>9.9</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is>
          <t>VD 0.2 %</t>
        </is>
      </c>
      <c r="AA5726" s="12">
        <f>N5726*O5726</f>
        <v/>
      </c>
    </row>
    <row r="5727">
      <c r="A5727" s="12" t="inlineStr">
        <is>
          <t>J-P-0010</t>
        </is>
      </c>
      <c r="B5727" s="12" t="inlineStr">
        <is>
          <t>J</t>
        </is>
      </c>
      <c r="C5727" s="12" t="inlineStr">
        <is>
          <t>GT inlet chilling</t>
        </is>
      </c>
      <c r="D5727" s="12" t="inlineStr">
        <is>
          <t>Motor 5 of 6, 7 kW</t>
        </is>
      </c>
      <c r="E5727" s="12" t="inlineStr"/>
      <c r="F5727" s="12" t="inlineStr">
        <is>
          <t>Inlet-chilling e-house / transformer</t>
        </is>
      </c>
      <c r="G5727" s="12" t="inlineStr"/>
      <c r="H5727" s="12" t="inlineStr">
        <is>
          <t>Chillers x6 (water-cooled)</t>
        </is>
      </c>
      <c r="I5727" s="12" t="inlineStr">
        <is>
          <t>LV 600 V</t>
        </is>
      </c>
      <c r="J5727" s="12" t="inlineStr">
        <is>
          <t>Type TC-ER 600 V 3/C Cu XHHW-2 + ground, PVC jacket</t>
        </is>
      </c>
      <c r="K5727" s="12" t="inlineStr">
        <is>
          <t>LV|3/C+G|10</t>
        </is>
      </c>
      <c r="L5727" s="12" t="inlineStr">
        <is>
          <t>3/C+G</t>
        </is>
      </c>
      <c r="M5727" s="12" t="inlineStr">
        <is>
          <t>10</t>
        </is>
      </c>
      <c r="N5727" s="12" t="n">
        <v>1</v>
      </c>
      <c r="O5727" s="12" t="n">
        <v>1</v>
      </c>
      <c r="P5727" s="12" t="n">
        <v>480</v>
      </c>
      <c r="Q5727" s="12" t="n">
        <v>7</v>
      </c>
      <c r="R5727" s="12" t="n">
        <v>9.9</v>
      </c>
      <c r="S5727" s="12" t="inlineStr">
        <is>
          <t>Duct bank</t>
        </is>
      </c>
      <c r="T5727" s="15" t="n">
        <v>10</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is>
          <t>VD 0.2 %</t>
        </is>
      </c>
      <c r="AA5727" s="12">
        <f>N5727*O5727</f>
        <v/>
      </c>
    </row>
    <row r="5728">
      <c r="A5728" s="12" t="inlineStr">
        <is>
          <t>J-P-0011</t>
        </is>
      </c>
      <c r="B5728" s="12" t="inlineStr">
        <is>
          <t>J</t>
        </is>
      </c>
      <c r="C5728" s="12" t="inlineStr">
        <is>
          <t>GT inlet chilling</t>
        </is>
      </c>
      <c r="D5728" s="12" t="inlineStr">
        <is>
          <t>Motor 6 of 6, 7 kW</t>
        </is>
      </c>
      <c r="E5728" s="12" t="inlineStr"/>
      <c r="F5728" s="12" t="inlineStr">
        <is>
          <t>Inlet-chilling e-house / transformer</t>
        </is>
      </c>
      <c r="G5728" s="12" t="inlineStr"/>
      <c r="H5728" s="12" t="inlineStr">
        <is>
          <t>Chillers x6 (water-cooled)</t>
        </is>
      </c>
      <c r="I5728" s="12" t="inlineStr">
        <is>
          <t>LV 600 V</t>
        </is>
      </c>
      <c r="J5728" s="12" t="inlineStr">
        <is>
          <t>Type TC-ER 600 V 3/C Cu XHHW-2 + ground, PVC jacket</t>
        </is>
      </c>
      <c r="K5728" s="12" t="inlineStr">
        <is>
          <t>LV|3/C+G|10</t>
        </is>
      </c>
      <c r="L5728" s="12" t="inlineStr">
        <is>
          <t>3/C+G</t>
        </is>
      </c>
      <c r="M5728" s="12" t="inlineStr">
        <is>
          <t>10</t>
        </is>
      </c>
      <c r="N5728" s="12" t="n">
        <v>1</v>
      </c>
      <c r="O5728" s="12" t="n">
        <v>1</v>
      </c>
      <c r="P5728" s="12" t="n">
        <v>480</v>
      </c>
      <c r="Q5728" s="12" t="n">
        <v>7</v>
      </c>
      <c r="R5728" s="12" t="n">
        <v>9.9</v>
      </c>
      <c r="S5728" s="12" t="inlineStr">
        <is>
          <t>Duct bank</t>
        </is>
      </c>
      <c r="T5728" s="15" t="n">
        <v>10</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is>
          <t>VD 0.2 %</t>
        </is>
      </c>
      <c r="AA5728" s="12">
        <f>N5728*O5728</f>
        <v/>
      </c>
    </row>
    <row r="5729">
      <c r="A5729" s="12" t="inlineStr">
        <is>
          <t>J-P-0012</t>
        </is>
      </c>
      <c r="B5729" s="12" t="inlineStr">
        <is>
          <t>J</t>
        </is>
      </c>
      <c r="C5729" s="12" t="inlineStr">
        <is>
          <t>GT inlet chilling</t>
        </is>
      </c>
      <c r="D5729" s="12" t="inlineStr">
        <is>
          <t>Motor 1 of 12, 75 kW (VFD output)</t>
        </is>
      </c>
      <c r="E5729" s="12" t="inlineStr"/>
      <c r="F5729" s="12" t="inlineStr">
        <is>
          <t>Inlet-chilling e-house / transformer</t>
        </is>
      </c>
      <c r="G5729" s="12" t="inlineStr"/>
      <c r="H5729" s="12" t="inlineStr">
        <is>
          <t>Inlet-chilling tower (12 cells): chiller heat rejection</t>
        </is>
      </c>
      <c r="I5729" s="12" t="inlineStr">
        <is>
          <t>LV 600 V</t>
        </is>
      </c>
      <c r="J5729" s="12" t="inlineStr">
        <is>
          <t>VFD cable 600 V 3/C Cu XHHW-2, 3 symmetrical grounds, overall Cu tape shield, TC-ER</t>
        </is>
      </c>
      <c r="K5729" s="12" t="inlineStr">
        <is>
          <t>VFD|3/C+3G|2/0</t>
        </is>
      </c>
      <c r="L5729" s="12" t="inlineStr">
        <is>
          <t>3/C+3G</t>
        </is>
      </c>
      <c r="M5729" s="12" t="inlineStr">
        <is>
          <t>2/0</t>
        </is>
      </c>
      <c r="N5729" s="12" t="n">
        <v>1</v>
      </c>
      <c r="O5729" s="12" t="n">
        <v>1</v>
      </c>
      <c r="P5729" s="12" t="n">
        <v>480</v>
      </c>
      <c r="Q5729" s="12" t="n">
        <v>75</v>
      </c>
      <c r="R5729" s="12" t="n">
        <v>106</v>
      </c>
      <c r="S5729" s="12" t="inlineStr">
        <is>
          <t>Duct bank</t>
        </is>
      </c>
      <c r="T5729" s="15" t="n">
        <v>683</v>
      </c>
      <c r="U5729" s="15" t="n">
        <v>38</v>
      </c>
      <c r="V5729" s="15">
        <f>ROUNDUP((T5729+U5729+2*'Read Me'!$B$13)*(1+'Read Me'!$B$12),-1)</f>
        <v/>
      </c>
      <c r="W5729" s="15">
        <f>V5729*N5729*O5729</f>
        <v/>
      </c>
      <c r="X5729" s="12">
        <f>IF(LEFT(I5729,2)="MV",2*N5729*IF(L5729="1/C",O5729,1),0)</f>
        <v/>
      </c>
      <c r="Y5729" s="12">
        <f>IF(OR(LEFT(K5729,4)="LVAX",LEFT(K5729,6)="MV15AX",LEFT(K5729,4)="CTAX",LEFT(K5729,2)="W|"),2*N5729*O5729,0)</f>
        <v/>
      </c>
      <c r="Z5729" s="12" t="inlineStr">
        <is>
          <t>VD 2.9 %</t>
        </is>
      </c>
      <c r="AA5729" s="12">
        <f>N5729*O5729</f>
        <v/>
      </c>
    </row>
    <row r="5730">
      <c r="A5730" s="12" t="inlineStr">
        <is>
          <t>J-P-0013</t>
        </is>
      </c>
      <c r="B5730" s="12" t="inlineStr">
        <is>
          <t>J</t>
        </is>
      </c>
      <c r="C5730" s="12" t="inlineStr">
        <is>
          <t>GT inlet chilling</t>
        </is>
      </c>
      <c r="D5730" s="12" t="inlineStr">
        <is>
          <t>Motor 2 of 12, 75 kW (VFD output)</t>
        </is>
      </c>
      <c r="E5730" s="12" t="inlineStr"/>
      <c r="F5730" s="12" t="inlineStr">
        <is>
          <t>Inlet-chilling e-house / transformer</t>
        </is>
      </c>
      <c r="G5730" s="12" t="inlineStr"/>
      <c r="H5730" s="12" t="inlineStr">
        <is>
          <t>Inlet-chilling tower (12 cells): chiller heat rejection</t>
        </is>
      </c>
      <c r="I5730" s="12" t="inlineStr">
        <is>
          <t>LV 600 V</t>
        </is>
      </c>
      <c r="J5730" s="12" t="inlineStr">
        <is>
          <t>VFD cable 600 V 3/C Cu XHHW-2, 3 symmetrical grounds, overall Cu tape shield, TC-ER</t>
        </is>
      </c>
      <c r="K5730" s="12" t="inlineStr">
        <is>
          <t>VFD|3/C+3G|2/0</t>
        </is>
      </c>
      <c r="L5730" s="12" t="inlineStr">
        <is>
          <t>3/C+3G</t>
        </is>
      </c>
      <c r="M5730" s="12" t="inlineStr">
        <is>
          <t>2/0</t>
        </is>
      </c>
      <c r="N5730" s="12" t="n">
        <v>1</v>
      </c>
      <c r="O5730" s="12" t="n">
        <v>1</v>
      </c>
      <c r="P5730" s="12" t="n">
        <v>480</v>
      </c>
      <c r="Q5730" s="12" t="n">
        <v>75</v>
      </c>
      <c r="R5730" s="12" t="n">
        <v>106</v>
      </c>
      <c r="S5730" s="12" t="inlineStr">
        <is>
          <t>Duct bank</t>
        </is>
      </c>
      <c r="T5730" s="15" t="n">
        <v>683</v>
      </c>
      <c r="U5730" s="15" t="n">
        <v>38</v>
      </c>
      <c r="V5730" s="15">
        <f>ROUNDUP((T5730+U5730+2*'Read Me'!$B$13)*(1+'Read Me'!$B$12),-1)</f>
        <v/>
      </c>
      <c r="W5730" s="15">
        <f>V5730*N5730*O5730</f>
        <v/>
      </c>
      <c r="X5730" s="12">
        <f>IF(LEFT(I5730,2)="MV",2*N5730*IF(L5730="1/C",O5730,1),0)</f>
        <v/>
      </c>
      <c r="Y5730" s="12">
        <f>IF(OR(LEFT(K5730,4)="LVAX",LEFT(K5730,6)="MV15AX",LEFT(K5730,4)="CTAX",LEFT(K5730,2)="W|"),2*N5730*O5730,0)</f>
        <v/>
      </c>
      <c r="Z5730" s="12" t="inlineStr">
        <is>
          <t>VD 2.9 %</t>
        </is>
      </c>
      <c r="AA5730" s="12">
        <f>N5730*O5730</f>
        <v/>
      </c>
    </row>
    <row r="5731">
      <c r="A5731" s="12" t="inlineStr">
        <is>
          <t>J-P-0014</t>
        </is>
      </c>
      <c r="B5731" s="12" t="inlineStr">
        <is>
          <t>J</t>
        </is>
      </c>
      <c r="C5731" s="12" t="inlineStr">
        <is>
          <t>GT inlet chilling</t>
        </is>
      </c>
      <c r="D5731" s="12" t="inlineStr">
        <is>
          <t>Motor 3 of 12, 75 kW (VFD output)</t>
        </is>
      </c>
      <c r="E5731" s="12" t="inlineStr"/>
      <c r="F5731" s="12" t="inlineStr">
        <is>
          <t>Inlet-chilling e-house / transformer</t>
        </is>
      </c>
      <c r="G5731" s="12" t="inlineStr"/>
      <c r="H5731" s="12" t="inlineStr">
        <is>
          <t>Inlet-chilling tower (12 cells): chiller heat rejection</t>
        </is>
      </c>
      <c r="I5731" s="12" t="inlineStr">
        <is>
          <t>LV 600 V</t>
        </is>
      </c>
      <c r="J5731" s="12" t="inlineStr">
        <is>
          <t>VFD cable 600 V 3/C Cu XHHW-2, 3 symmetrical grounds, overall Cu tape shield, TC-ER</t>
        </is>
      </c>
      <c r="K5731" s="12" t="inlineStr">
        <is>
          <t>VFD|3/C+3G|2/0</t>
        </is>
      </c>
      <c r="L5731" s="12" t="inlineStr">
        <is>
          <t>3/C+3G</t>
        </is>
      </c>
      <c r="M5731" s="12" t="inlineStr">
        <is>
          <t>2/0</t>
        </is>
      </c>
      <c r="N5731" s="12" t="n">
        <v>1</v>
      </c>
      <c r="O5731" s="12" t="n">
        <v>1</v>
      </c>
      <c r="P5731" s="12" t="n">
        <v>480</v>
      </c>
      <c r="Q5731" s="12" t="n">
        <v>75</v>
      </c>
      <c r="R5731" s="12" t="n">
        <v>106</v>
      </c>
      <c r="S5731" s="12" t="inlineStr">
        <is>
          <t>Duct bank</t>
        </is>
      </c>
      <c r="T5731" s="15" t="n">
        <v>683</v>
      </c>
      <c r="U5731" s="15" t="n">
        <v>38</v>
      </c>
      <c r="V5731" s="15">
        <f>ROUNDUP((T5731+U5731+2*'Read Me'!$B$13)*(1+'Read Me'!$B$12),-1)</f>
        <v/>
      </c>
      <c r="W5731" s="15">
        <f>V5731*N5731*O5731</f>
        <v/>
      </c>
      <c r="X5731" s="12">
        <f>IF(LEFT(I5731,2)="MV",2*N5731*IF(L5731="1/C",O5731,1),0)</f>
        <v/>
      </c>
      <c r="Y5731" s="12">
        <f>IF(OR(LEFT(K5731,4)="LVAX",LEFT(K5731,6)="MV15AX",LEFT(K5731,4)="CTAX",LEFT(K5731,2)="W|"),2*N5731*O5731,0)</f>
        <v/>
      </c>
      <c r="Z5731" s="12" t="inlineStr">
        <is>
          <t>VD 2.9 %</t>
        </is>
      </c>
      <c r="AA5731" s="12">
        <f>N5731*O5731</f>
        <v/>
      </c>
    </row>
    <row r="5732">
      <c r="A5732" s="12" t="inlineStr">
        <is>
          <t>J-P-0015</t>
        </is>
      </c>
      <c r="B5732" s="12" t="inlineStr">
        <is>
          <t>J</t>
        </is>
      </c>
      <c r="C5732" s="12" t="inlineStr">
        <is>
          <t>GT inlet chilling</t>
        </is>
      </c>
      <c r="D5732" s="12" t="inlineStr">
        <is>
          <t>Motor 4 of 12, 75 kW (VFD output)</t>
        </is>
      </c>
      <c r="E5732" s="12" t="inlineStr"/>
      <c r="F5732" s="12" t="inlineStr">
        <is>
          <t>Inlet-chilling e-house / transformer</t>
        </is>
      </c>
      <c r="G5732" s="12" t="inlineStr"/>
      <c r="H5732" s="12" t="inlineStr">
        <is>
          <t>Inlet-chilling tower (12 cells): chiller heat rejection</t>
        </is>
      </c>
      <c r="I5732" s="12" t="inlineStr">
        <is>
          <t>LV 600 V</t>
        </is>
      </c>
      <c r="J5732" s="12" t="inlineStr">
        <is>
          <t>VFD cable 600 V 3/C Cu XHHW-2, 3 symmetrical grounds, overall Cu tape shield, TC-ER</t>
        </is>
      </c>
      <c r="K5732" s="12" t="inlineStr">
        <is>
          <t>VFD|3/C+3G|2/0</t>
        </is>
      </c>
      <c r="L5732" s="12" t="inlineStr">
        <is>
          <t>3/C+3G</t>
        </is>
      </c>
      <c r="M5732" s="12" t="inlineStr">
        <is>
          <t>2/0</t>
        </is>
      </c>
      <c r="N5732" s="12" t="n">
        <v>1</v>
      </c>
      <c r="O5732" s="12" t="n">
        <v>1</v>
      </c>
      <c r="P5732" s="12" t="n">
        <v>480</v>
      </c>
      <c r="Q5732" s="12" t="n">
        <v>75</v>
      </c>
      <c r="R5732" s="12" t="n">
        <v>106</v>
      </c>
      <c r="S5732" s="12" t="inlineStr">
        <is>
          <t>Duct bank</t>
        </is>
      </c>
      <c r="T5732" s="15" t="n">
        <v>683</v>
      </c>
      <c r="U5732" s="15" t="n">
        <v>38</v>
      </c>
      <c r="V5732" s="15">
        <f>ROUNDUP((T5732+U5732+2*'Read Me'!$B$13)*(1+'Read Me'!$B$12),-1)</f>
        <v/>
      </c>
      <c r="W5732" s="15">
        <f>V5732*N5732*O5732</f>
        <v/>
      </c>
      <c r="X5732" s="12">
        <f>IF(LEFT(I5732,2)="MV",2*N5732*IF(L5732="1/C",O5732,1),0)</f>
        <v/>
      </c>
      <c r="Y5732" s="12">
        <f>IF(OR(LEFT(K5732,4)="LVAX",LEFT(K5732,6)="MV15AX",LEFT(K5732,4)="CTAX",LEFT(K5732,2)="W|"),2*N5732*O5732,0)</f>
        <v/>
      </c>
      <c r="Z5732" s="12" t="inlineStr">
        <is>
          <t>VD 2.9 %</t>
        </is>
      </c>
      <c r="AA5732" s="12">
        <f>N5732*O5732</f>
        <v/>
      </c>
    </row>
    <row r="5733">
      <c r="A5733" s="12" t="inlineStr">
        <is>
          <t>J-P-0016</t>
        </is>
      </c>
      <c r="B5733" s="12" t="inlineStr">
        <is>
          <t>J</t>
        </is>
      </c>
      <c r="C5733" s="12" t="inlineStr">
        <is>
          <t>GT inlet chilling</t>
        </is>
      </c>
      <c r="D5733" s="12" t="inlineStr">
        <is>
          <t>Motor 5 of 12, 75 kW (VFD output)</t>
        </is>
      </c>
      <c r="E5733" s="12" t="inlineStr"/>
      <c r="F5733" s="12" t="inlineStr">
        <is>
          <t>Inlet-chilling e-house / transformer</t>
        </is>
      </c>
      <c r="G5733" s="12" t="inlineStr"/>
      <c r="H5733" s="12" t="inlineStr">
        <is>
          <t>Inlet-chilling tower (12 cells): chiller heat rejection</t>
        </is>
      </c>
      <c r="I5733" s="12" t="inlineStr">
        <is>
          <t>LV 600 V</t>
        </is>
      </c>
      <c r="J5733" s="12" t="inlineStr">
        <is>
          <t>VFD cable 600 V 3/C Cu XHHW-2, 3 symmetrical grounds, overall Cu tape shield, TC-ER</t>
        </is>
      </c>
      <c r="K5733" s="12" t="inlineStr">
        <is>
          <t>VFD|3/C+3G|2/0</t>
        </is>
      </c>
      <c r="L5733" s="12" t="inlineStr">
        <is>
          <t>3/C+3G</t>
        </is>
      </c>
      <c r="M5733" s="12" t="inlineStr">
        <is>
          <t>2/0</t>
        </is>
      </c>
      <c r="N5733" s="12" t="n">
        <v>1</v>
      </c>
      <c r="O5733" s="12" t="n">
        <v>1</v>
      </c>
      <c r="P5733" s="12" t="n">
        <v>480</v>
      </c>
      <c r="Q5733" s="12" t="n">
        <v>75</v>
      </c>
      <c r="R5733" s="12" t="n">
        <v>106</v>
      </c>
      <c r="S5733" s="12" t="inlineStr">
        <is>
          <t>Duct bank</t>
        </is>
      </c>
      <c r="T5733" s="15" t="n">
        <v>683</v>
      </c>
      <c r="U5733" s="15" t="n">
        <v>38</v>
      </c>
      <c r="V5733" s="15">
        <f>ROUNDUP((T5733+U5733+2*'Read Me'!$B$13)*(1+'Read Me'!$B$12),-1)</f>
        <v/>
      </c>
      <c r="W5733" s="15">
        <f>V5733*N5733*O5733</f>
        <v/>
      </c>
      <c r="X5733" s="12">
        <f>IF(LEFT(I5733,2)="MV",2*N5733*IF(L5733="1/C",O5733,1),0)</f>
        <v/>
      </c>
      <c r="Y5733" s="12">
        <f>IF(OR(LEFT(K5733,4)="LVAX",LEFT(K5733,6)="MV15AX",LEFT(K5733,4)="CTAX",LEFT(K5733,2)="W|"),2*N5733*O5733,0)</f>
        <v/>
      </c>
      <c r="Z5733" s="12" t="inlineStr">
        <is>
          <t>VD 2.9 %</t>
        </is>
      </c>
      <c r="AA5733" s="12">
        <f>N5733*O5733</f>
        <v/>
      </c>
    </row>
    <row r="5734">
      <c r="A5734" s="12" t="inlineStr">
        <is>
          <t>J-P-0017</t>
        </is>
      </c>
      <c r="B5734" s="12" t="inlineStr">
        <is>
          <t>J</t>
        </is>
      </c>
      <c r="C5734" s="12" t="inlineStr">
        <is>
          <t>GT inlet chilling</t>
        </is>
      </c>
      <c r="D5734" s="12" t="inlineStr">
        <is>
          <t>Motor 6 of 12, 75 kW (VFD output)</t>
        </is>
      </c>
      <c r="E5734" s="12" t="inlineStr"/>
      <c r="F5734" s="12" t="inlineStr">
        <is>
          <t>Inlet-chilling e-house / transformer</t>
        </is>
      </c>
      <c r="G5734" s="12" t="inlineStr"/>
      <c r="H5734" s="12" t="inlineStr">
        <is>
          <t>Inlet-chilling tower (12 cells): chiller heat rejection</t>
        </is>
      </c>
      <c r="I5734" s="12" t="inlineStr">
        <is>
          <t>LV 600 V</t>
        </is>
      </c>
      <c r="J5734" s="12" t="inlineStr">
        <is>
          <t>VFD cable 600 V 3/C Cu XHHW-2, 3 symmetrical grounds, overall Cu tape shield, TC-ER</t>
        </is>
      </c>
      <c r="K5734" s="12" t="inlineStr">
        <is>
          <t>VFD|3/C+3G|2/0</t>
        </is>
      </c>
      <c r="L5734" s="12" t="inlineStr">
        <is>
          <t>3/C+3G</t>
        </is>
      </c>
      <c r="M5734" s="12" t="inlineStr">
        <is>
          <t>2/0</t>
        </is>
      </c>
      <c r="N5734" s="12" t="n">
        <v>1</v>
      </c>
      <c r="O5734" s="12" t="n">
        <v>1</v>
      </c>
      <c r="P5734" s="12" t="n">
        <v>480</v>
      </c>
      <c r="Q5734" s="12" t="n">
        <v>75</v>
      </c>
      <c r="R5734" s="12" t="n">
        <v>106</v>
      </c>
      <c r="S5734" s="12" t="inlineStr">
        <is>
          <t>Duct bank</t>
        </is>
      </c>
      <c r="T5734" s="15" t="n">
        <v>683</v>
      </c>
      <c r="U5734" s="15" t="n">
        <v>38</v>
      </c>
      <c r="V5734" s="15">
        <f>ROUNDUP((T5734+U5734+2*'Read Me'!$B$13)*(1+'Read Me'!$B$12),-1)</f>
        <v/>
      </c>
      <c r="W5734" s="15">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J-P-0018</t>
        </is>
      </c>
      <c r="B5735" s="12" t="inlineStr">
        <is>
          <t>J</t>
        </is>
      </c>
      <c r="C5735" s="12" t="inlineStr">
        <is>
          <t>GT inlet chilling</t>
        </is>
      </c>
      <c r="D5735" s="12" t="inlineStr">
        <is>
          <t>Motor 7 of 12, 75 kW (VFD output)</t>
        </is>
      </c>
      <c r="E5735" s="12" t="inlineStr"/>
      <c r="F5735" s="12" t="inlineStr">
        <is>
          <t>Inlet-chilling e-house / transformer</t>
        </is>
      </c>
      <c r="G5735" s="12" t="inlineStr"/>
      <c r="H5735" s="12" t="inlineStr">
        <is>
          <t>Inlet-chilling tower (12 cells): chiller heat rejection</t>
        </is>
      </c>
      <c r="I5735" s="12" t="inlineStr">
        <is>
          <t>LV 600 V</t>
        </is>
      </c>
      <c r="J5735" s="12" t="inlineStr">
        <is>
          <t>VFD cable 600 V 3/C Cu XHHW-2, 3 symmetrical grounds, overall Cu tape shield, TC-ER</t>
        </is>
      </c>
      <c r="K5735" s="12" t="inlineStr">
        <is>
          <t>VFD|3/C+3G|2/0</t>
        </is>
      </c>
      <c r="L5735" s="12" t="inlineStr">
        <is>
          <t>3/C+3G</t>
        </is>
      </c>
      <c r="M5735" s="12" t="inlineStr">
        <is>
          <t>2/0</t>
        </is>
      </c>
      <c r="N5735" s="12" t="n">
        <v>1</v>
      </c>
      <c r="O5735" s="12" t="n">
        <v>1</v>
      </c>
      <c r="P5735" s="12" t="n">
        <v>480</v>
      </c>
      <c r="Q5735" s="12" t="n">
        <v>75</v>
      </c>
      <c r="R5735" s="12" t="n">
        <v>106</v>
      </c>
      <c r="S5735" s="12" t="inlineStr">
        <is>
          <t>Duct bank</t>
        </is>
      </c>
      <c r="T5735" s="15" t="n">
        <v>683</v>
      </c>
      <c r="U5735" s="15" t="n">
        <v>38</v>
      </c>
      <c r="V5735" s="15">
        <f>ROUNDUP((T5735+U5735+2*'Read Me'!$B$13)*(1+'Read Me'!$B$12),-1)</f>
        <v/>
      </c>
      <c r="W5735" s="15">
        <f>V5735*N5735*O5735</f>
        <v/>
      </c>
      <c r="X5735" s="12">
        <f>IF(LEFT(I5735,2)="MV",2*N5735*IF(L5735="1/C",O5735,1),0)</f>
        <v/>
      </c>
      <c r="Y5735" s="12">
        <f>IF(OR(LEFT(K5735,4)="LVAX",LEFT(K5735,6)="MV15AX",LEFT(K5735,4)="CTAX",LEFT(K5735,2)="W|"),2*N5735*O5735,0)</f>
        <v/>
      </c>
      <c r="Z5735" s="12" t="inlineStr">
        <is>
          <t>VD 2.9 %</t>
        </is>
      </c>
      <c r="AA5735" s="12">
        <f>N5735*O5735</f>
        <v/>
      </c>
    </row>
    <row r="5736">
      <c r="A5736" s="12" t="inlineStr">
        <is>
          <t>J-P-0019</t>
        </is>
      </c>
      <c r="B5736" s="12" t="inlineStr">
        <is>
          <t>J</t>
        </is>
      </c>
      <c r="C5736" s="12" t="inlineStr">
        <is>
          <t>GT inlet chilling</t>
        </is>
      </c>
      <c r="D5736" s="12" t="inlineStr">
        <is>
          <t>Motor 8 of 12, 75 kW (VFD output)</t>
        </is>
      </c>
      <c r="E5736" s="12" t="inlineStr"/>
      <c r="F5736" s="12" t="inlineStr">
        <is>
          <t>Inlet-chilling e-house / transformer</t>
        </is>
      </c>
      <c r="G5736" s="12" t="inlineStr"/>
      <c r="H5736" s="12" t="inlineStr">
        <is>
          <t>Inlet-chilling tower (12 cells): chiller heat rejection</t>
        </is>
      </c>
      <c r="I5736" s="12" t="inlineStr">
        <is>
          <t>LV 600 V</t>
        </is>
      </c>
      <c r="J5736" s="12" t="inlineStr">
        <is>
          <t>VFD cable 600 V 3/C Cu XHHW-2, 3 symmetrical grounds, overall Cu tape shield, TC-ER</t>
        </is>
      </c>
      <c r="K5736" s="12" t="inlineStr">
        <is>
          <t>VFD|3/C+3G|2/0</t>
        </is>
      </c>
      <c r="L5736" s="12" t="inlineStr">
        <is>
          <t>3/C+3G</t>
        </is>
      </c>
      <c r="M5736" s="12" t="inlineStr">
        <is>
          <t>2/0</t>
        </is>
      </c>
      <c r="N5736" s="12" t="n">
        <v>1</v>
      </c>
      <c r="O5736" s="12" t="n">
        <v>1</v>
      </c>
      <c r="P5736" s="12" t="n">
        <v>480</v>
      </c>
      <c r="Q5736" s="12" t="n">
        <v>75</v>
      </c>
      <c r="R5736" s="12" t="n">
        <v>106</v>
      </c>
      <c r="S5736" s="12" t="inlineStr">
        <is>
          <t>Duct bank</t>
        </is>
      </c>
      <c r="T5736" s="15" t="n">
        <v>683</v>
      </c>
      <c r="U5736" s="15" t="n">
        <v>38</v>
      </c>
      <c r="V5736" s="15">
        <f>ROUNDUP((T5736+U5736+2*'Read Me'!$B$13)*(1+'Read Me'!$B$12),-1)</f>
        <v/>
      </c>
      <c r="W5736" s="15">
        <f>V5736*N5736*O5736</f>
        <v/>
      </c>
      <c r="X5736" s="12">
        <f>IF(LEFT(I5736,2)="MV",2*N5736*IF(L5736="1/C",O5736,1),0)</f>
        <v/>
      </c>
      <c r="Y5736" s="12">
        <f>IF(OR(LEFT(K5736,4)="LVAX",LEFT(K5736,6)="MV15AX",LEFT(K5736,4)="CTAX",LEFT(K5736,2)="W|"),2*N5736*O5736,0)</f>
        <v/>
      </c>
      <c r="Z5736" s="12" t="inlineStr">
        <is>
          <t>VD 2.9 %</t>
        </is>
      </c>
      <c r="AA5736" s="12">
        <f>N5736*O5736</f>
        <v/>
      </c>
    </row>
    <row r="5737">
      <c r="A5737" s="12" t="inlineStr">
        <is>
          <t>J-P-0020</t>
        </is>
      </c>
      <c r="B5737" s="12" t="inlineStr">
        <is>
          <t>J</t>
        </is>
      </c>
      <c r="C5737" s="12" t="inlineStr">
        <is>
          <t>GT inlet chilling</t>
        </is>
      </c>
      <c r="D5737" s="12" t="inlineStr">
        <is>
          <t>Motor 9 of 12, 75 kW (VFD output)</t>
        </is>
      </c>
      <c r="E5737" s="12" t="inlineStr"/>
      <c r="F5737" s="12" t="inlineStr">
        <is>
          <t>Inlet-chilling e-house / transformer</t>
        </is>
      </c>
      <c r="G5737" s="12" t="inlineStr"/>
      <c r="H5737" s="12" t="inlineStr">
        <is>
          <t>Inlet-chilling tower (12 cells): chiller heat rejection</t>
        </is>
      </c>
      <c r="I5737" s="12" t="inlineStr">
        <is>
          <t>LV 600 V</t>
        </is>
      </c>
      <c r="J5737" s="12" t="inlineStr">
        <is>
          <t>VFD cable 600 V 3/C Cu XHHW-2, 3 symmetrical grounds, overall Cu tape shield, TC-ER</t>
        </is>
      </c>
      <c r="K5737" s="12" t="inlineStr">
        <is>
          <t>VFD|3/C+3G|2/0</t>
        </is>
      </c>
      <c r="L5737" s="12" t="inlineStr">
        <is>
          <t>3/C+3G</t>
        </is>
      </c>
      <c r="M5737" s="12" t="inlineStr">
        <is>
          <t>2/0</t>
        </is>
      </c>
      <c r="N5737" s="12" t="n">
        <v>1</v>
      </c>
      <c r="O5737" s="12" t="n">
        <v>1</v>
      </c>
      <c r="P5737" s="12" t="n">
        <v>480</v>
      </c>
      <c r="Q5737" s="12" t="n">
        <v>75</v>
      </c>
      <c r="R5737" s="12" t="n">
        <v>106</v>
      </c>
      <c r="S5737" s="12" t="inlineStr">
        <is>
          <t>Duct bank</t>
        </is>
      </c>
      <c r="T5737" s="15" t="n">
        <v>683</v>
      </c>
      <c r="U5737" s="15" t="n">
        <v>38</v>
      </c>
      <c r="V5737" s="15">
        <f>ROUNDUP((T5737+U5737+2*'Read Me'!$B$13)*(1+'Read Me'!$B$12),-1)</f>
        <v/>
      </c>
      <c r="W5737" s="15">
        <f>V5737*N5737*O5737</f>
        <v/>
      </c>
      <c r="X5737" s="12">
        <f>IF(LEFT(I5737,2)="MV",2*N5737*IF(L5737="1/C",O5737,1),0)</f>
        <v/>
      </c>
      <c r="Y5737" s="12">
        <f>IF(OR(LEFT(K5737,4)="LVAX",LEFT(K5737,6)="MV15AX",LEFT(K5737,4)="CTAX",LEFT(K5737,2)="W|"),2*N5737*O5737,0)</f>
        <v/>
      </c>
      <c r="Z5737" s="12" t="inlineStr">
        <is>
          <t>VD 2.9 %</t>
        </is>
      </c>
      <c r="AA5737" s="12">
        <f>N5737*O5737</f>
        <v/>
      </c>
    </row>
    <row r="5738">
      <c r="A5738" s="12" t="inlineStr">
        <is>
          <t>J-P-0021</t>
        </is>
      </c>
      <c r="B5738" s="12" t="inlineStr">
        <is>
          <t>J</t>
        </is>
      </c>
      <c r="C5738" s="12" t="inlineStr">
        <is>
          <t>GT inlet chilling</t>
        </is>
      </c>
      <c r="D5738" s="12" t="inlineStr">
        <is>
          <t>Motor 10 of 12, 75 kW (VFD output)</t>
        </is>
      </c>
      <c r="E5738" s="12" t="inlineStr"/>
      <c r="F5738" s="12" t="inlineStr">
        <is>
          <t>Inlet-chilling e-house / transformer</t>
        </is>
      </c>
      <c r="G5738" s="12" t="inlineStr"/>
      <c r="H5738" s="12" t="inlineStr">
        <is>
          <t>Inlet-chilling tower (12 cells): chiller heat rejection</t>
        </is>
      </c>
      <c r="I5738" s="12" t="inlineStr">
        <is>
          <t>LV 600 V</t>
        </is>
      </c>
      <c r="J5738" s="12" t="inlineStr">
        <is>
          <t>VFD cable 600 V 3/C Cu XHHW-2, 3 symmetrical grounds, overall Cu tape shield, TC-ER</t>
        </is>
      </c>
      <c r="K5738" s="12" t="inlineStr">
        <is>
          <t>VFD|3/C+3G|2/0</t>
        </is>
      </c>
      <c r="L5738" s="12" t="inlineStr">
        <is>
          <t>3/C+3G</t>
        </is>
      </c>
      <c r="M5738" s="12" t="inlineStr">
        <is>
          <t>2/0</t>
        </is>
      </c>
      <c r="N5738" s="12" t="n">
        <v>1</v>
      </c>
      <c r="O5738" s="12" t="n">
        <v>1</v>
      </c>
      <c r="P5738" s="12" t="n">
        <v>480</v>
      </c>
      <c r="Q5738" s="12" t="n">
        <v>75</v>
      </c>
      <c r="R5738" s="12" t="n">
        <v>106</v>
      </c>
      <c r="S5738" s="12" t="inlineStr">
        <is>
          <t>Duct bank</t>
        </is>
      </c>
      <c r="T5738" s="15" t="n">
        <v>683</v>
      </c>
      <c r="U5738" s="15" t="n">
        <v>38</v>
      </c>
      <c r="V5738" s="15">
        <f>ROUNDUP((T5738+U5738+2*'Read Me'!$B$13)*(1+'Read Me'!$B$12),-1)</f>
        <v/>
      </c>
      <c r="W5738" s="15">
        <f>V5738*N5738*O5738</f>
        <v/>
      </c>
      <c r="X5738" s="12">
        <f>IF(LEFT(I5738,2)="MV",2*N5738*IF(L5738="1/C",O5738,1),0)</f>
        <v/>
      </c>
      <c r="Y5738" s="12">
        <f>IF(OR(LEFT(K5738,4)="LVAX",LEFT(K5738,6)="MV15AX",LEFT(K5738,4)="CTAX",LEFT(K5738,2)="W|"),2*N5738*O5738,0)</f>
        <v/>
      </c>
      <c r="Z5738" s="12" t="inlineStr">
        <is>
          <t>VD 2.9 %</t>
        </is>
      </c>
      <c r="AA5738" s="12">
        <f>N5738*O5738</f>
        <v/>
      </c>
    </row>
    <row r="5739">
      <c r="A5739" s="12" t="inlineStr">
        <is>
          <t>J-P-0022</t>
        </is>
      </c>
      <c r="B5739" s="12" t="inlineStr">
        <is>
          <t>J</t>
        </is>
      </c>
      <c r="C5739" s="12" t="inlineStr">
        <is>
          <t>GT inlet chilling</t>
        </is>
      </c>
      <c r="D5739" s="12" t="inlineStr">
        <is>
          <t>Motor 11 of 12, 75 kW (VFD output)</t>
        </is>
      </c>
      <c r="E5739" s="12" t="inlineStr"/>
      <c r="F5739" s="12" t="inlineStr">
        <is>
          <t>Inlet-chilling e-house / transformer</t>
        </is>
      </c>
      <c r="G5739" s="12" t="inlineStr"/>
      <c r="H5739" s="12" t="inlineStr">
        <is>
          <t>Inlet-chilling tower (12 cells): chiller heat rejection</t>
        </is>
      </c>
      <c r="I5739" s="12" t="inlineStr">
        <is>
          <t>LV 600 V</t>
        </is>
      </c>
      <c r="J5739" s="12" t="inlineStr">
        <is>
          <t>VFD cable 600 V 3/C Cu XHHW-2, 3 symmetrical grounds, overall Cu tape shield, TC-ER</t>
        </is>
      </c>
      <c r="K5739" s="12" t="inlineStr">
        <is>
          <t>VFD|3/C+3G|2/0</t>
        </is>
      </c>
      <c r="L5739" s="12" t="inlineStr">
        <is>
          <t>3/C+3G</t>
        </is>
      </c>
      <c r="M5739" s="12" t="inlineStr">
        <is>
          <t>2/0</t>
        </is>
      </c>
      <c r="N5739" s="12" t="n">
        <v>1</v>
      </c>
      <c r="O5739" s="12" t="n">
        <v>1</v>
      </c>
      <c r="P5739" s="12" t="n">
        <v>480</v>
      </c>
      <c r="Q5739" s="12" t="n">
        <v>75</v>
      </c>
      <c r="R5739" s="12" t="n">
        <v>106</v>
      </c>
      <c r="S5739" s="12" t="inlineStr">
        <is>
          <t>Duct bank</t>
        </is>
      </c>
      <c r="T5739" s="15" t="n">
        <v>683</v>
      </c>
      <c r="U5739" s="15" t="n">
        <v>38</v>
      </c>
      <c r="V5739" s="15">
        <f>ROUNDUP((T5739+U5739+2*'Read Me'!$B$13)*(1+'Read Me'!$B$12),-1)</f>
        <v/>
      </c>
      <c r="W5739" s="15">
        <f>V5739*N5739*O5739</f>
        <v/>
      </c>
      <c r="X5739" s="12">
        <f>IF(LEFT(I5739,2)="MV",2*N5739*IF(L5739="1/C",O5739,1),0)</f>
        <v/>
      </c>
      <c r="Y5739" s="12">
        <f>IF(OR(LEFT(K5739,4)="LVAX",LEFT(K5739,6)="MV15AX",LEFT(K5739,4)="CTAX",LEFT(K5739,2)="W|"),2*N5739*O5739,0)</f>
        <v/>
      </c>
      <c r="Z5739" s="12" t="inlineStr">
        <is>
          <t>VD 2.9 %</t>
        </is>
      </c>
      <c r="AA5739" s="12">
        <f>N5739*O5739</f>
        <v/>
      </c>
    </row>
    <row r="5740">
      <c r="A5740" s="12" t="inlineStr">
        <is>
          <t>J-P-0023</t>
        </is>
      </c>
      <c r="B5740" s="12" t="inlineStr">
        <is>
          <t>J</t>
        </is>
      </c>
      <c r="C5740" s="12" t="inlineStr">
        <is>
          <t>GT inlet chilling</t>
        </is>
      </c>
      <c r="D5740" s="12" t="inlineStr">
        <is>
          <t>Motor 12 of 12, 75 kW (VFD output)</t>
        </is>
      </c>
      <c r="E5740" s="12" t="inlineStr"/>
      <c r="F5740" s="12" t="inlineStr">
        <is>
          <t>Inlet-chilling e-house / transformer</t>
        </is>
      </c>
      <c r="G5740" s="12" t="inlineStr"/>
      <c r="H5740" s="12" t="inlineStr">
        <is>
          <t>Inlet-chilling tower (12 cells): chiller heat rejection</t>
        </is>
      </c>
      <c r="I5740" s="12" t="inlineStr">
        <is>
          <t>LV 600 V</t>
        </is>
      </c>
      <c r="J5740" s="12" t="inlineStr">
        <is>
          <t>VFD cable 600 V 3/C Cu XHHW-2, 3 symmetrical grounds, overall Cu tape shield, TC-ER</t>
        </is>
      </c>
      <c r="K5740" s="12" t="inlineStr">
        <is>
          <t>VFD|3/C+3G|2/0</t>
        </is>
      </c>
      <c r="L5740" s="12" t="inlineStr">
        <is>
          <t>3/C+3G</t>
        </is>
      </c>
      <c r="M5740" s="12" t="inlineStr">
        <is>
          <t>2/0</t>
        </is>
      </c>
      <c r="N5740" s="12" t="n">
        <v>1</v>
      </c>
      <c r="O5740" s="12" t="n">
        <v>1</v>
      </c>
      <c r="P5740" s="12" t="n">
        <v>480</v>
      </c>
      <c r="Q5740" s="12" t="n">
        <v>75</v>
      </c>
      <c r="R5740" s="12" t="n">
        <v>106</v>
      </c>
      <c r="S5740" s="12" t="inlineStr">
        <is>
          <t>Duct bank</t>
        </is>
      </c>
      <c r="T5740" s="15" t="n">
        <v>683</v>
      </c>
      <c r="U5740" s="15" t="n">
        <v>38</v>
      </c>
      <c r="V5740" s="15">
        <f>ROUNDUP((T5740+U5740+2*'Read Me'!$B$13)*(1+'Read Me'!$B$12),-1)</f>
        <v/>
      </c>
      <c r="W5740" s="15">
        <f>V5740*N5740*O5740</f>
        <v/>
      </c>
      <c r="X5740" s="12">
        <f>IF(LEFT(I5740,2)="MV",2*N5740*IF(L5740="1/C",O5740,1),0)</f>
        <v/>
      </c>
      <c r="Y5740" s="12">
        <f>IF(OR(LEFT(K5740,4)="LVAX",LEFT(K5740,6)="MV15AX",LEFT(K5740,4)="CTAX",LEFT(K5740,2)="W|"),2*N5740*O5740,0)</f>
        <v/>
      </c>
      <c r="Z5740" s="12" t="inlineStr">
        <is>
          <t>VD 2.9 %</t>
        </is>
      </c>
      <c r="AA5740" s="12">
        <f>N5740*O5740</f>
        <v/>
      </c>
    </row>
    <row r="5741">
      <c r="A5741" s="12" t="inlineStr">
        <is>
          <t>J-P-0024</t>
        </is>
      </c>
      <c r="B5741" s="12" t="inlineStr">
        <is>
          <t>J</t>
        </is>
      </c>
      <c r="C5741" s="12" t="inlineStr">
        <is>
          <t>GT inlet chilling</t>
        </is>
      </c>
      <c r="D5741" s="12" t="inlineStr">
        <is>
          <t>Area / platform lighting circuit 1 (12 fixtures)</t>
        </is>
      </c>
      <c r="E5741" s="12" t="inlineStr"/>
      <c r="F5741" s="12" t="inlineStr">
        <is>
          <t>Inlet-chilling e-house / transformer</t>
        </is>
      </c>
      <c r="G5741" s="12" t="inlineStr"/>
      <c r="H5741" s="12" t="inlineStr">
        <is>
          <t>Inlet-chilling tower (12 cells): chiller heat rejection</t>
        </is>
      </c>
      <c r="I5741" s="12" t="inlineStr">
        <is>
          <t>LV 600 V</t>
        </is>
      </c>
      <c r="J5741" s="12" t="inlineStr">
        <is>
          <t>Type TC-ER 600 V 3/C Cu XHHW-2 + ground, PVC jacket</t>
        </is>
      </c>
      <c r="K5741" s="12" t="inlineStr">
        <is>
          <t>LV|3/C+G|10</t>
        </is>
      </c>
      <c r="L5741" s="12" t="inlineStr">
        <is>
          <t>3/C+G</t>
        </is>
      </c>
      <c r="M5741" s="12" t="inlineStr">
        <is>
          <t>10</t>
        </is>
      </c>
      <c r="N5741" s="12" t="n">
        <v>1</v>
      </c>
      <c r="O5741" s="12" t="n">
        <v>1</v>
      </c>
      <c r="P5741" s="12" t="n">
        <v>480</v>
      </c>
      <c r="Q5741" s="12" t="n">
        <v>3</v>
      </c>
      <c r="R5741" s="12" t="n">
        <v>5</v>
      </c>
      <c r="S5741" s="12" t="inlineStr">
        <is>
          <t>Duct bank</t>
        </is>
      </c>
      <c r="T5741" s="15" t="n">
        <v>778</v>
      </c>
      <c r="U5741" s="15" t="n">
        <v>38</v>
      </c>
      <c r="V5741" s="15">
        <f>ROUNDUP((T5741+U5741+2*'Read Me'!$B$13)*(1+'Read Me'!$B$12),-1)</f>
        <v/>
      </c>
      <c r="W5741" s="15">
        <f>V5741*N5741*O5741</f>
        <v/>
      </c>
      <c r="X5741" s="12">
        <f>IF(LEFT(I5741,2)="MV",2*N5741*IF(L5741="1/C",O5741,1),0)</f>
        <v/>
      </c>
      <c r="Y5741" s="12">
        <f>IF(OR(LEFT(K5741,4)="LVAX",LEFT(K5741,6)="MV15AX",LEFT(K5741,4)="CTAX",LEFT(K5741,2)="W|"),2*N5741*O5741,0)</f>
        <v/>
      </c>
      <c r="Z5741" s="12" t="inlineStr">
        <is>
          <t>fixture-to-fixture run included</t>
        </is>
      </c>
      <c r="AA5741" s="12">
        <f>N5741*O5741</f>
        <v/>
      </c>
    </row>
    <row r="5742">
      <c r="A5742" s="12" t="inlineStr">
        <is>
          <t>J-MV-0001</t>
        </is>
      </c>
      <c r="B5742" s="12" t="inlineStr">
        <is>
          <t>J</t>
        </is>
      </c>
      <c r="C5742" s="12" t="inlineStr">
        <is>
          <t>GT inlet chilling</t>
        </is>
      </c>
      <c r="D5742" s="12" t="inlineStr">
        <is>
          <t>Inlet-chilling e-house / transformer</t>
        </is>
      </c>
      <c r="E5742" s="12" t="inlineStr">
        <is>
          <t>SWGR-13.8-1</t>
        </is>
      </c>
      <c r="F5742" s="12" t="inlineStr">
        <is>
          <t>R1 SWGR-13.8-1 (11 x 36 in cubicles, 15 kV metal-clad)</t>
        </is>
      </c>
      <c r="G5742" s="12" t="inlineStr"/>
      <c r="H5742" s="12" t="inlineStr">
        <is>
          <t>Inlet-chilling e-house / transformer</t>
        </is>
      </c>
      <c r="I5742" s="12" t="inlineStr">
        <is>
          <t>MV 15 kV</t>
        </is>
      </c>
      <c r="J5742" s="12" t="inlineStr">
        <is>
          <t>MV-105 15 kV 1/C Cu, EPR 133%, Cu tape shield, PVC jacket (triplexed)</t>
        </is>
      </c>
      <c r="K5742" s="12" t="inlineStr">
        <is>
          <t>MV15|1/C|1000</t>
        </is>
      </c>
      <c r="L5742" s="12" t="inlineStr">
        <is>
          <t>1/C</t>
        </is>
      </c>
      <c r="M5742" s="12" t="inlineStr">
        <is>
          <t>1000 kcmil</t>
        </is>
      </c>
      <c r="N5742" s="12" t="n">
        <v>1</v>
      </c>
      <c r="O5742" s="12" t="n">
        <v>3</v>
      </c>
      <c r="P5742" s="12" t="n">
        <v>13800</v>
      </c>
      <c r="Q5742" s="12" t="n">
        <v>12000</v>
      </c>
      <c r="R5742" s="12" t="n">
        <v>502</v>
      </c>
      <c r="S5742" s="12" t="inlineStr">
        <is>
          <t>Duct bank</t>
        </is>
      </c>
      <c r="T5742" s="15" t="n">
        <v>629</v>
      </c>
      <c r="U5742" s="15" t="n">
        <v>38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J-MV-0002</t>
        </is>
      </c>
      <c r="B5743" s="12" t="inlineStr">
        <is>
          <t>J</t>
        </is>
      </c>
      <c r="C5743" s="12" t="inlineStr">
        <is>
          <t>GT inlet chilling</t>
        </is>
      </c>
      <c r="D5743" s="12" t="inlineStr">
        <is>
          <t>Inlet-chilling CW pump 1</t>
        </is>
      </c>
      <c r="E5743" s="12" t="inlineStr"/>
      <c r="F5743" s="12" t="inlineStr">
        <is>
          <t>Inlet-chilling e-house / transformer</t>
        </is>
      </c>
      <c r="G5743" s="12" t="inlineStr"/>
      <c r="H5743" s="12" t="inlineStr">
        <is>
          <t>CW pumps (inlet chilling)</t>
        </is>
      </c>
      <c r="I5743" s="12" t="inlineStr">
        <is>
          <t>MV 5 kV</t>
        </is>
      </c>
      <c r="J5743" s="12" t="inlineStr">
        <is>
          <t>MV-105 5 kV 3/C Cu, EPR 133%, tape shield, gnd, PVC jacket</t>
        </is>
      </c>
      <c r="K5743" s="12" t="inlineStr">
        <is>
          <t>MV5|3/C|2</t>
        </is>
      </c>
      <c r="L5743" s="12" t="inlineStr">
        <is>
          <t>3/C</t>
        </is>
      </c>
      <c r="M5743" s="12" t="inlineStr">
        <is>
          <t>2</t>
        </is>
      </c>
      <c r="N5743" s="12" t="n">
        <v>1</v>
      </c>
      <c r="O5743" s="12" t="n">
        <v>1</v>
      </c>
      <c r="P5743" s="12" t="n">
        <v>4160</v>
      </c>
      <c r="Q5743" s="12" t="n">
        <v>450</v>
      </c>
      <c r="R5743" s="12" t="n">
        <v>69</v>
      </c>
      <c r="S5743" s="12" t="inlineStr">
        <is>
          <t>Tray</t>
        </is>
      </c>
      <c r="T5743" s="15" t="n">
        <v>0</v>
      </c>
      <c r="U5743" s="15" t="n">
        <v>70</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J-MV-0003</t>
        </is>
      </c>
      <c r="B5744" s="12" t="inlineStr">
        <is>
          <t>J</t>
        </is>
      </c>
      <c r="C5744" s="12" t="inlineStr">
        <is>
          <t>GT inlet chilling</t>
        </is>
      </c>
      <c r="D5744" s="12" t="inlineStr">
        <is>
          <t>Inlet-chilling CW pump 2</t>
        </is>
      </c>
      <c r="E5744" s="12" t="inlineStr"/>
      <c r="F5744" s="12" t="inlineStr">
        <is>
          <t>Inlet-chilling e-house / transformer</t>
        </is>
      </c>
      <c r="G5744" s="12" t="inlineStr"/>
      <c r="H5744" s="12" t="inlineStr">
        <is>
          <t>CW pumps (inlet chilling)</t>
        </is>
      </c>
      <c r="I5744" s="12" t="inlineStr">
        <is>
          <t>MV 5 kV</t>
        </is>
      </c>
      <c r="J5744" s="12" t="inlineStr">
        <is>
          <t>MV-105 5 kV 3/C Cu, EPR 133%, tape shield, gnd, PVC jacket</t>
        </is>
      </c>
      <c r="K5744" s="12" t="inlineStr">
        <is>
          <t>MV5|3/C|2</t>
        </is>
      </c>
      <c r="L5744" s="12" t="inlineStr">
        <is>
          <t>3/C</t>
        </is>
      </c>
      <c r="M5744" s="12" t="inlineStr">
        <is>
          <t>2</t>
        </is>
      </c>
      <c r="N5744" s="12" t="n">
        <v>1</v>
      </c>
      <c r="O5744" s="12" t="n">
        <v>1</v>
      </c>
      <c r="P5744" s="12" t="n">
        <v>4160</v>
      </c>
      <c r="Q5744" s="12" t="n">
        <v>450</v>
      </c>
      <c r="R5744" s="12" t="n">
        <v>69</v>
      </c>
      <c r="S5744" s="12" t="inlineStr">
        <is>
          <t>Tray</t>
        </is>
      </c>
      <c r="T5744" s="15" t="n">
        <v>0</v>
      </c>
      <c r="U5744" s="15" t="n">
        <v>70</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J-MV-0004</t>
        </is>
      </c>
      <c r="B5745" s="12" t="inlineStr">
        <is>
          <t>J</t>
        </is>
      </c>
      <c r="C5745" s="12" t="inlineStr">
        <is>
          <t>GT inlet chilling</t>
        </is>
      </c>
      <c r="D5745" s="12" t="inlineStr">
        <is>
          <t>Inlet-chilling CW pump 3</t>
        </is>
      </c>
      <c r="E5745" s="12" t="inlineStr"/>
      <c r="F5745" s="12" t="inlineStr">
        <is>
          <t>Inlet-chilling e-house / transformer</t>
        </is>
      </c>
      <c r="G5745" s="12" t="inlineStr"/>
      <c r="H5745" s="12" t="inlineStr">
        <is>
          <t>CW pumps (inlet chilling)</t>
        </is>
      </c>
      <c r="I5745" s="12" t="inlineStr">
        <is>
          <t>MV 5 kV</t>
        </is>
      </c>
      <c r="J5745" s="12" t="inlineStr">
        <is>
          <t>MV-105 5 kV 3/C Cu, EPR 133%, tape shield, gnd, PVC jacket</t>
        </is>
      </c>
      <c r="K5745" s="12" t="inlineStr">
        <is>
          <t>MV5|3/C|2</t>
        </is>
      </c>
      <c r="L5745" s="12" t="inlineStr">
        <is>
          <t>3/C</t>
        </is>
      </c>
      <c r="M5745" s="12" t="inlineStr">
        <is>
          <t>2</t>
        </is>
      </c>
      <c r="N5745" s="12" t="n">
        <v>1</v>
      </c>
      <c r="O5745" s="12" t="n">
        <v>1</v>
      </c>
      <c r="P5745" s="12" t="n">
        <v>4160</v>
      </c>
      <c r="Q5745" s="12" t="n">
        <v>450</v>
      </c>
      <c r="R5745" s="12" t="n">
        <v>69</v>
      </c>
      <c r="S5745" s="12" t="inlineStr">
        <is>
          <t>Tray</t>
        </is>
      </c>
      <c r="T5745" s="15" t="n">
        <v>0</v>
      </c>
      <c r="U5745" s="15" t="n">
        <v>70</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J-MV-0005</t>
        </is>
      </c>
      <c r="B5746" s="12" t="inlineStr">
        <is>
          <t>J</t>
        </is>
      </c>
      <c r="C5746" s="12" t="inlineStr">
        <is>
          <t>GT inlet chilling</t>
        </is>
      </c>
      <c r="D5746" s="12" t="inlineStr">
        <is>
          <t>Inlet-chilling CW pump 4</t>
        </is>
      </c>
      <c r="E5746" s="12" t="inlineStr"/>
      <c r="F5746" s="12" t="inlineStr">
        <is>
          <t>Inlet-chilling e-house / transformer</t>
        </is>
      </c>
      <c r="G5746" s="12" t="inlineStr"/>
      <c r="H5746" s="12" t="inlineStr">
        <is>
          <t>CW pumps (inlet chilling)</t>
        </is>
      </c>
      <c r="I5746" s="12" t="inlineStr">
        <is>
          <t>MV 5 kV</t>
        </is>
      </c>
      <c r="J5746" s="12" t="inlineStr">
        <is>
          <t>MV-105 5 kV 3/C Cu, EPR 133%, tape shield, gnd, PVC jacket</t>
        </is>
      </c>
      <c r="K5746" s="12" t="inlineStr">
        <is>
          <t>MV5|3/C|2</t>
        </is>
      </c>
      <c r="L5746" s="12" t="inlineStr">
        <is>
          <t>3/C</t>
        </is>
      </c>
      <c r="M5746" s="12" t="inlineStr">
        <is>
          <t>2</t>
        </is>
      </c>
      <c r="N5746" s="12" t="n">
        <v>1</v>
      </c>
      <c r="O5746" s="12" t="n">
        <v>1</v>
      </c>
      <c r="P5746" s="12" t="n">
        <v>4160</v>
      </c>
      <c r="Q5746" s="12" t="n">
        <v>450</v>
      </c>
      <c r="R5746" s="12" t="n">
        <v>69</v>
      </c>
      <c r="S5746" s="12" t="inlineStr">
        <is>
          <t>Tray</t>
        </is>
      </c>
      <c r="T5746" s="15" t="n">
        <v>0</v>
      </c>
      <c r="U5746" s="15" t="n">
        <v>70</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J-MV-0006</t>
        </is>
      </c>
      <c r="B5747" s="12" t="inlineStr">
        <is>
          <t>J</t>
        </is>
      </c>
      <c r="C5747" s="12" t="inlineStr">
        <is>
          <t>GT inlet chilling</t>
        </is>
      </c>
      <c r="D5747" s="12" t="inlineStr">
        <is>
          <t>Water-cooled chiller CH-1</t>
        </is>
      </c>
      <c r="E5747" s="12" t="inlineStr"/>
      <c r="F5747" s="12" t="inlineStr">
        <is>
          <t>Inlet-chilling e-house / transformer</t>
        </is>
      </c>
      <c r="G5747" s="12" t="inlineStr"/>
      <c r="H5747" s="12" t="inlineStr">
        <is>
          <t>Chillers x6 (water-cooled)</t>
        </is>
      </c>
      <c r="I5747" s="12" t="inlineStr">
        <is>
          <t>MV 5 kV</t>
        </is>
      </c>
      <c r="J5747" s="12" t="inlineStr">
        <is>
          <t>MV-105 5 kV 3/C Cu, EPR 133%, tape shield, gnd, PVC jacket</t>
        </is>
      </c>
      <c r="K5747" s="12" t="inlineStr">
        <is>
          <t>MV5|3/C|250</t>
        </is>
      </c>
      <c r="L5747" s="12" t="inlineStr">
        <is>
          <t>3/C</t>
        </is>
      </c>
      <c r="M5747" s="12" t="inlineStr">
        <is>
          <t>250 kcmil</t>
        </is>
      </c>
      <c r="N5747" s="12" t="n">
        <v>1</v>
      </c>
      <c r="O5747" s="12" t="n">
        <v>1</v>
      </c>
      <c r="P5747" s="12" t="n">
        <v>4160</v>
      </c>
      <c r="Q5747" s="12" t="n">
        <v>1500</v>
      </c>
      <c r="R5747" s="12" t="n">
        <v>231</v>
      </c>
      <c r="S5747" s="12" t="inlineStr">
        <is>
          <t>Duct bank</t>
        </is>
      </c>
      <c r="T5747" s="15" t="n">
        <v>10</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J-MV-0007</t>
        </is>
      </c>
      <c r="B5748" s="12" t="inlineStr">
        <is>
          <t>J</t>
        </is>
      </c>
      <c r="C5748" s="12" t="inlineStr">
        <is>
          <t>GT inlet chilling</t>
        </is>
      </c>
      <c r="D5748" s="12" t="inlineStr">
        <is>
          <t>Water-cooled chiller CH-2</t>
        </is>
      </c>
      <c r="E5748" s="12" t="inlineStr"/>
      <c r="F5748" s="12" t="inlineStr">
        <is>
          <t>Inlet-chilling e-house / transformer</t>
        </is>
      </c>
      <c r="G5748" s="12" t="inlineStr"/>
      <c r="H5748" s="12" t="inlineStr">
        <is>
          <t>Chillers x6 (water-cooled)</t>
        </is>
      </c>
      <c r="I5748" s="12" t="inlineStr">
        <is>
          <t>MV 5 kV</t>
        </is>
      </c>
      <c r="J5748" s="12" t="inlineStr">
        <is>
          <t>MV-105 5 kV 3/C Cu, EPR 133%, tape shield, gnd, PVC jacket</t>
        </is>
      </c>
      <c r="K5748" s="12" t="inlineStr">
        <is>
          <t>MV5|3/C|250</t>
        </is>
      </c>
      <c r="L5748" s="12" t="inlineStr">
        <is>
          <t>3/C</t>
        </is>
      </c>
      <c r="M5748" s="12" t="inlineStr">
        <is>
          <t>250 kcmil</t>
        </is>
      </c>
      <c r="N5748" s="12" t="n">
        <v>1</v>
      </c>
      <c r="O5748" s="12" t="n">
        <v>1</v>
      </c>
      <c r="P5748" s="12" t="n">
        <v>4160</v>
      </c>
      <c r="Q5748" s="12" t="n">
        <v>1500</v>
      </c>
      <c r="R5748" s="12" t="n">
        <v>231</v>
      </c>
      <c r="S5748" s="12" t="inlineStr">
        <is>
          <t>Duct bank</t>
        </is>
      </c>
      <c r="T5748" s="15" t="n">
        <v>10</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J-MV-0008</t>
        </is>
      </c>
      <c r="B5749" s="12" t="inlineStr">
        <is>
          <t>J</t>
        </is>
      </c>
      <c r="C5749" s="12" t="inlineStr">
        <is>
          <t>GT inlet chilling</t>
        </is>
      </c>
      <c r="D5749" s="12" t="inlineStr">
        <is>
          <t>Water-cooled chiller CH-3</t>
        </is>
      </c>
      <c r="E5749" s="12" t="inlineStr"/>
      <c r="F5749" s="12" t="inlineStr">
        <is>
          <t>Inlet-chilling e-house / transformer</t>
        </is>
      </c>
      <c r="G5749" s="12" t="inlineStr"/>
      <c r="H5749" s="12" t="inlineStr">
        <is>
          <t>Chillers x6 (water-cooled)</t>
        </is>
      </c>
      <c r="I5749" s="12" t="inlineStr">
        <is>
          <t>MV 5 kV</t>
        </is>
      </c>
      <c r="J5749" s="12" t="inlineStr">
        <is>
          <t>MV-105 5 kV 3/C Cu, EPR 133%, tape shield, gnd, PVC jacket</t>
        </is>
      </c>
      <c r="K5749" s="12" t="inlineStr">
        <is>
          <t>MV5|3/C|250</t>
        </is>
      </c>
      <c r="L5749" s="12" t="inlineStr">
        <is>
          <t>3/C</t>
        </is>
      </c>
      <c r="M5749" s="12" t="inlineStr">
        <is>
          <t>250 kcmil</t>
        </is>
      </c>
      <c r="N5749" s="12" t="n">
        <v>1</v>
      </c>
      <c r="O5749" s="12" t="n">
        <v>1</v>
      </c>
      <c r="P5749" s="12" t="n">
        <v>4160</v>
      </c>
      <c r="Q5749" s="12" t="n">
        <v>1500</v>
      </c>
      <c r="R5749" s="12" t="n">
        <v>231</v>
      </c>
      <c r="S5749" s="12" t="inlineStr">
        <is>
          <t>Duct bank</t>
        </is>
      </c>
      <c r="T5749" s="15" t="n">
        <v>10</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J-MV-0009</t>
        </is>
      </c>
      <c r="B5750" s="12" t="inlineStr">
        <is>
          <t>J</t>
        </is>
      </c>
      <c r="C5750" s="12" t="inlineStr">
        <is>
          <t>GT inlet chilling</t>
        </is>
      </c>
      <c r="D5750" s="12" t="inlineStr">
        <is>
          <t>Water-cooled chiller CH-4</t>
        </is>
      </c>
      <c r="E5750" s="12" t="inlineStr"/>
      <c r="F5750" s="12" t="inlineStr">
        <is>
          <t>Inlet-chilling e-house / transformer</t>
        </is>
      </c>
      <c r="G5750" s="12" t="inlineStr"/>
      <c r="H5750" s="12" t="inlineStr">
        <is>
          <t>Chillers x6 (water-cooled)</t>
        </is>
      </c>
      <c r="I5750" s="12" t="inlineStr">
        <is>
          <t>MV 5 kV</t>
        </is>
      </c>
      <c r="J5750" s="12" t="inlineStr">
        <is>
          <t>MV-105 5 kV 3/C Cu, EPR 133%, tape shield, gnd, PVC jacket</t>
        </is>
      </c>
      <c r="K5750" s="12" t="inlineStr">
        <is>
          <t>MV5|3/C|250</t>
        </is>
      </c>
      <c r="L5750" s="12" t="inlineStr">
        <is>
          <t>3/C</t>
        </is>
      </c>
      <c r="M5750" s="12" t="inlineStr">
        <is>
          <t>250 kcmil</t>
        </is>
      </c>
      <c r="N5750" s="12" t="n">
        <v>1</v>
      </c>
      <c r="O5750" s="12" t="n">
        <v>1</v>
      </c>
      <c r="P5750" s="12" t="n">
        <v>4160</v>
      </c>
      <c r="Q5750" s="12" t="n">
        <v>1500</v>
      </c>
      <c r="R5750" s="12" t="n">
        <v>231</v>
      </c>
      <c r="S5750" s="12" t="inlineStr">
        <is>
          <t>Duct bank</t>
        </is>
      </c>
      <c r="T5750" s="15" t="n">
        <v>10</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J-MV-0010</t>
        </is>
      </c>
      <c r="B5751" s="12" t="inlineStr">
        <is>
          <t>J</t>
        </is>
      </c>
      <c r="C5751" s="12" t="inlineStr">
        <is>
          <t>GT inlet chilling</t>
        </is>
      </c>
      <c r="D5751" s="12" t="inlineStr">
        <is>
          <t>Water-cooled chiller CH-5</t>
        </is>
      </c>
      <c r="E5751" s="12" t="inlineStr"/>
      <c r="F5751" s="12" t="inlineStr">
        <is>
          <t>Inlet-chilling e-house / transformer</t>
        </is>
      </c>
      <c r="G5751" s="12" t="inlineStr"/>
      <c r="H5751" s="12" t="inlineStr">
        <is>
          <t>Chillers x6 (water-cooled)</t>
        </is>
      </c>
      <c r="I5751" s="12" t="inlineStr">
        <is>
          <t>MV 5 kV</t>
        </is>
      </c>
      <c r="J5751" s="12" t="inlineStr">
        <is>
          <t>MV-105 5 kV 3/C Cu, EPR 133%, tape shield, gnd, PVC jacket</t>
        </is>
      </c>
      <c r="K5751" s="12" t="inlineStr">
        <is>
          <t>MV5|3/C|250</t>
        </is>
      </c>
      <c r="L5751" s="12" t="inlineStr">
        <is>
          <t>3/C</t>
        </is>
      </c>
      <c r="M5751" s="12" t="inlineStr">
        <is>
          <t>250 kcmil</t>
        </is>
      </c>
      <c r="N5751" s="12" t="n">
        <v>1</v>
      </c>
      <c r="O5751" s="12" t="n">
        <v>1</v>
      </c>
      <c r="P5751" s="12" t="n">
        <v>4160</v>
      </c>
      <c r="Q5751" s="12" t="n">
        <v>1500</v>
      </c>
      <c r="R5751" s="12" t="n">
        <v>231</v>
      </c>
      <c r="S5751" s="12" t="inlineStr">
        <is>
          <t>Duct bank</t>
        </is>
      </c>
      <c r="T5751" s="15" t="n">
        <v>10</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J-MV-0011</t>
        </is>
      </c>
      <c r="B5752" s="12" t="inlineStr">
        <is>
          <t>J</t>
        </is>
      </c>
      <c r="C5752" s="12" t="inlineStr">
        <is>
          <t>GT inlet chilling</t>
        </is>
      </c>
      <c r="D5752" s="12" t="inlineStr">
        <is>
          <t>Water-cooled chiller CH-6</t>
        </is>
      </c>
      <c r="E5752" s="12" t="inlineStr"/>
      <c r="F5752" s="12" t="inlineStr">
        <is>
          <t>Inlet-chilling e-house / transformer</t>
        </is>
      </c>
      <c r="G5752" s="12" t="inlineStr"/>
      <c r="H5752" s="12" t="inlineStr">
        <is>
          <t>Chillers x6 (water-cooled)</t>
        </is>
      </c>
      <c r="I5752" s="12" t="inlineStr">
        <is>
          <t>MV 5 kV</t>
        </is>
      </c>
      <c r="J5752" s="12" t="inlineStr">
        <is>
          <t>MV-105 5 kV 3/C Cu, EPR 133%, tape shield, gnd, PVC jacket</t>
        </is>
      </c>
      <c r="K5752" s="12" t="inlineStr">
        <is>
          <t>MV5|3/C|250</t>
        </is>
      </c>
      <c r="L5752" s="12" t="inlineStr">
        <is>
          <t>3/C</t>
        </is>
      </c>
      <c r="M5752" s="12" t="inlineStr">
        <is>
          <t>250 kcmil</t>
        </is>
      </c>
      <c r="N5752" s="12" t="n">
        <v>1</v>
      </c>
      <c r="O5752" s="12" t="n">
        <v>1</v>
      </c>
      <c r="P5752" s="12" t="n">
        <v>4160</v>
      </c>
      <c r="Q5752" s="12" t="n">
        <v>1500</v>
      </c>
      <c r="R5752" s="12" t="n">
        <v>231</v>
      </c>
      <c r="S5752" s="12" t="inlineStr">
        <is>
          <t>Duct bank</t>
        </is>
      </c>
      <c r="T5752" s="15" t="n">
        <v>10</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K-L-0001</t>
        </is>
      </c>
      <c r="B5753" s="12" t="inlineStr">
        <is>
          <t>K</t>
        </is>
      </c>
      <c r="C5753" s="12" t="inlineStr">
        <is>
          <t>Fuel supply (adjacent market)</t>
        </is>
      </c>
      <c r="D5753" s="12" t="inlineStr">
        <is>
          <t>Lighting, receptacles and small power branch circuits (allowance)</t>
        </is>
      </c>
      <c r="E5753" s="12" t="inlineStr"/>
      <c r="F5753" s="12" t="inlineStr">
        <is>
          <t>H2 20: 13.8 kV e-house</t>
        </is>
      </c>
      <c r="G5753" s="12" t="inlineStr"/>
      <c r="H5753" s="12" t="inlineStr">
        <is>
          <t>H2 20: 13.8 kV e-house</t>
        </is>
      </c>
      <c r="I5753" s="12" t="inlineStr">
        <is>
          <t>Building wire</t>
        </is>
      </c>
      <c r="J5753" s="12" t="inlineStr">
        <is>
          <t>SIMpull THHN/THWN-2 600 V 1/C Cu (lighting, receptacles, small power)</t>
        </is>
      </c>
      <c r="K5753" s="12" t="inlineStr">
        <is>
          <t>THHN|1/C|12</t>
        </is>
      </c>
      <c r="L5753" s="12" t="inlineStr">
        <is>
          <t>1/C</t>
        </is>
      </c>
      <c r="M5753" s="12" t="inlineStr">
        <is>
          <t>12</t>
        </is>
      </c>
      <c r="N5753" s="12" t="n">
        <v>1</v>
      </c>
      <c r="O5753" s="12" t="n">
        <v>1</v>
      </c>
      <c r="P5753" s="12" t="n">
        <v>277</v>
      </c>
      <c r="Q5753" s="12" t="n"/>
      <c r="R5753" s="12" t="n"/>
      <c r="S5753" s="12" t="inlineStr">
        <is>
          <t>Conduit</t>
        </is>
      </c>
      <c r="T5753" s="15" t="n">
        <v>1536</v>
      </c>
      <c r="U5753" s="15" t="n">
        <v>0</v>
      </c>
      <c r="V5753" s="15">
        <f>ROUNDUP((T5753+U5753+2*'Read Me'!$B$13)*(1+'Read Me'!$B$12),-1)</f>
        <v/>
      </c>
      <c r="W5753" s="15">
        <f>V5753*N5753*O5753</f>
        <v/>
      </c>
      <c r="X5753" s="12">
        <f>IF(LEFT(I5753,2)="MV",2*N5753*IF(L5753="1/C",O5753,1),0)</f>
        <v/>
      </c>
      <c r="Y5753" s="12">
        <f>IF(OR(LEFT(K5753,4)="LVAX",LEFT(K5753,6)="MV15AX",LEFT(K5753,4)="CTAX",LEFT(K5753,2)="W|"),2*N5753*O5753,0)</f>
        <v/>
      </c>
      <c r="Z5753" s="12" t="inlineStr">
        <is>
          <t>allowance: 1.6 ft of conductor per ft2 of floor</t>
        </is>
      </c>
      <c r="AA5753" s="12">
        <f>N5753*O5753</f>
        <v/>
      </c>
    </row>
    <row r="5754">
      <c r="A5754" s="12" t="inlineStr">
        <is>
          <t>K-L-0002</t>
        </is>
      </c>
      <c r="B5754" s="12" t="inlineStr">
        <is>
          <t>K</t>
        </is>
      </c>
      <c r="C5754" s="12" t="inlineStr">
        <is>
          <t>Fuel supply (adjacent market)</t>
        </is>
      </c>
      <c r="D5754" s="12" t="inlineStr">
        <is>
          <t>Lighting, receptacles and small power branch circuits (allowance)</t>
        </is>
      </c>
      <c r="E5754" s="12" t="inlineStr"/>
      <c r="F5754" s="12" t="inlineStr">
        <is>
          <t>LNG 17: LNG e-house (13.8 kV / 480 V)</t>
        </is>
      </c>
      <c r="G5754" s="12" t="inlineStr"/>
      <c r="H5754" s="12" t="inlineStr">
        <is>
          <t>LNG 17: LNG e-house (13.8 kV / 480 V)</t>
        </is>
      </c>
      <c r="I5754" s="12" t="inlineStr">
        <is>
          <t>Building wire</t>
        </is>
      </c>
      <c r="J5754" s="12" t="inlineStr">
        <is>
          <t>SIMpull THHN/THWN-2 600 V 1/C Cu (lighting, receptacles, small power)</t>
        </is>
      </c>
      <c r="K5754" s="12" t="inlineStr">
        <is>
          <t>THHN|1/C|12</t>
        </is>
      </c>
      <c r="L5754" s="12" t="inlineStr">
        <is>
          <t>1/C</t>
        </is>
      </c>
      <c r="M5754" s="12" t="inlineStr">
        <is>
          <t>12</t>
        </is>
      </c>
      <c r="N5754" s="12" t="n">
        <v>1</v>
      </c>
      <c r="O5754" s="12" t="n">
        <v>1</v>
      </c>
      <c r="P5754" s="12" t="n">
        <v>277</v>
      </c>
      <c r="Q5754" s="12" t="n"/>
      <c r="R5754" s="12" t="n"/>
      <c r="S5754" s="12" t="inlineStr">
        <is>
          <t>Conduit</t>
        </is>
      </c>
      <c r="T5754" s="15" t="n">
        <v>896</v>
      </c>
      <c r="U5754" s="15" t="n">
        <v>0</v>
      </c>
      <c r="V5754" s="15">
        <f>ROUNDUP((T5754+U5754+2*'Read Me'!$B$13)*(1+'Read Me'!$B$12),-1)</f>
        <v/>
      </c>
      <c r="W5754" s="15">
        <f>V5754*N5754*O5754</f>
        <v/>
      </c>
      <c r="X5754" s="12">
        <f>IF(LEFT(I5754,2)="MV",2*N5754*IF(L5754="1/C",O5754,1),0)</f>
        <v/>
      </c>
      <c r="Y5754" s="12">
        <f>IF(OR(LEFT(K5754,4)="LVAX",LEFT(K5754,6)="MV15AX",LEFT(K5754,4)="CTAX",LEFT(K5754,2)="W|"),2*N5754*O5754,0)</f>
        <v/>
      </c>
      <c r="Z5754" s="12" t="inlineStr">
        <is>
          <t>allowance: 1.6 ft of conductor per ft2 of floor</t>
        </is>
      </c>
      <c r="AA5754" s="12">
        <f>N5754*O5754</f>
        <v/>
      </c>
    </row>
    <row r="5755">
      <c r="A5755" s="12" t="inlineStr">
        <is>
          <t>K-L-0003</t>
        </is>
      </c>
      <c r="B5755" s="12" t="inlineStr">
        <is>
          <t>K</t>
        </is>
      </c>
      <c r="C5755" s="12" t="inlineStr">
        <is>
          <t>Fuel supply (adjacent market)</t>
        </is>
      </c>
      <c r="D5755" s="12" t="inlineStr">
        <is>
          <t>Lighting, receptacles and small power branch circuits (allowance)</t>
        </is>
      </c>
      <c r="E5755" s="12" t="inlineStr"/>
      <c r="F5755" s="12" t="inlineStr">
        <is>
          <t>M&amp;R 6: regulation / flow control building</t>
        </is>
      </c>
      <c r="G5755" s="12" t="inlineStr"/>
      <c r="H5755" s="12" t="inlineStr">
        <is>
          <t>M&amp;R 6: regulation / flow control building</t>
        </is>
      </c>
      <c r="I5755" s="12" t="inlineStr">
        <is>
          <t>Building wire</t>
        </is>
      </c>
      <c r="J5755" s="12" t="inlineStr">
        <is>
          <t>SIMpull THHN/THWN-2 600 V 1/C Cu (lighting, receptacles, small power)</t>
        </is>
      </c>
      <c r="K5755" s="12" t="inlineStr">
        <is>
          <t>THHN|1/C|12</t>
        </is>
      </c>
      <c r="L5755" s="12" t="inlineStr">
        <is>
          <t>1/C</t>
        </is>
      </c>
      <c r="M5755" s="12" t="inlineStr">
        <is>
          <t>12</t>
        </is>
      </c>
      <c r="N5755" s="12" t="n">
        <v>1</v>
      </c>
      <c r="O5755" s="12" t="n">
        <v>1</v>
      </c>
      <c r="P5755" s="12" t="n">
        <v>277</v>
      </c>
      <c r="Q5755" s="12" t="n"/>
      <c r="R5755" s="12" t="n"/>
      <c r="S5755" s="12" t="inlineStr">
        <is>
          <t>Conduit</t>
        </is>
      </c>
      <c r="T5755" s="15" t="n">
        <v>1440</v>
      </c>
      <c r="U5755" s="15" t="n">
        <v>0</v>
      </c>
      <c r="V5755" s="15">
        <f>ROUNDUP((T5755+U5755+2*'Read Me'!$B$13)*(1+'Read Me'!$B$12),-1)</f>
        <v/>
      </c>
      <c r="W5755" s="15">
        <f>V5755*N5755*O5755</f>
        <v/>
      </c>
      <c r="X5755" s="12">
        <f>IF(LEFT(I5755,2)="MV",2*N5755*IF(L5755="1/C",O5755,1),0)</f>
        <v/>
      </c>
      <c r="Y5755" s="12">
        <f>IF(OR(LEFT(K5755,4)="LVAX",LEFT(K5755,6)="MV15AX",LEFT(K5755,4)="CTAX",LEFT(K5755,2)="W|"),2*N5755*O5755,0)</f>
        <v/>
      </c>
      <c r="Z5755" s="12" t="inlineStr">
        <is>
          <t>allowance: 1.6 ft of conductor per ft2 of floor</t>
        </is>
      </c>
      <c r="AA5755" s="12">
        <f>N5755*O5755</f>
        <v/>
      </c>
    </row>
    <row r="5756">
      <c r="A5756" s="12" t="inlineStr">
        <is>
          <t>K-L-0004</t>
        </is>
      </c>
      <c r="B5756" s="12" t="inlineStr">
        <is>
          <t>K</t>
        </is>
      </c>
      <c r="C5756" s="12" t="inlineStr">
        <is>
          <t>Fuel supply (adjacent market)</t>
        </is>
      </c>
      <c r="D5756" s="12" t="inlineStr">
        <is>
          <t>Lighting, receptacles and small power branch circuits (allowance)</t>
        </is>
      </c>
      <c r="E5756" s="12" t="inlineStr"/>
      <c r="F5756" s="12" t="inlineStr">
        <is>
          <t>M&amp;R 7: gas quality + measurement building</t>
        </is>
      </c>
      <c r="G5756" s="12" t="inlineStr"/>
      <c r="H5756" s="12" t="inlineStr">
        <is>
          <t>M&amp;R 7: gas quality + measurement building</t>
        </is>
      </c>
      <c r="I5756" s="12" t="inlineStr">
        <is>
          <t>Building wire</t>
        </is>
      </c>
      <c r="J5756" s="12" t="inlineStr">
        <is>
          <t>SIMpull THHN/THWN-2 600 V 1/C Cu (lighting, receptacles, small power)</t>
        </is>
      </c>
      <c r="K5756" s="12" t="inlineStr">
        <is>
          <t>THHN|1/C|12</t>
        </is>
      </c>
      <c r="L5756" s="12" t="inlineStr">
        <is>
          <t>1/C</t>
        </is>
      </c>
      <c r="M5756" s="12" t="inlineStr">
        <is>
          <t>12</t>
        </is>
      </c>
      <c r="N5756" s="12" t="n">
        <v>1</v>
      </c>
      <c r="O5756" s="12" t="n">
        <v>1</v>
      </c>
      <c r="P5756" s="12" t="n">
        <v>277</v>
      </c>
      <c r="Q5756" s="12" t="n"/>
      <c r="R5756" s="12" t="n"/>
      <c r="S5756" s="12" t="inlineStr">
        <is>
          <t>Conduit</t>
        </is>
      </c>
      <c r="T5756" s="15" t="n">
        <v>205</v>
      </c>
      <c r="U5756" s="15" t="n">
        <v>0</v>
      </c>
      <c r="V5756" s="15">
        <f>ROUNDUP((T5756+U5756+2*'Read Me'!$B$13)*(1+'Read Me'!$B$12),-1)</f>
        <v/>
      </c>
      <c r="W5756" s="15">
        <f>V5756*N5756*O5756</f>
        <v/>
      </c>
      <c r="X5756" s="12">
        <f>IF(LEFT(I5756,2)="MV",2*N5756*IF(L5756="1/C",O5756,1),0)</f>
        <v/>
      </c>
      <c r="Y5756" s="12">
        <f>IF(OR(LEFT(K5756,4)="LVAX",LEFT(K5756,6)="MV15AX",LEFT(K5756,4)="CTAX",LEFT(K5756,2)="W|"),2*N5756*O5756,0)</f>
        <v/>
      </c>
      <c r="Z5756" s="12" t="inlineStr">
        <is>
          <t>allowance: 1.6 ft of conductor per ft2 of floor</t>
        </is>
      </c>
      <c r="AA5756" s="12">
        <f>N5756*O5756</f>
        <v/>
      </c>
    </row>
    <row r="5757">
      <c r="A5757" s="12" t="inlineStr">
        <is>
          <t>K-C-0001</t>
        </is>
      </c>
      <c r="B5757" s="12" t="inlineStr">
        <is>
          <t>K</t>
        </is>
      </c>
      <c r="C5757" s="12" t="inlineStr">
        <is>
          <t>Fuel supply (adjacent market)</t>
        </is>
      </c>
      <c r="D5757" s="12" t="inlineStr">
        <is>
          <t>Motor 1 of 1: control / local station</t>
        </is>
      </c>
      <c r="E5757" s="12" t="inlineStr"/>
      <c r="F5757" s="12" t="inlineStr">
        <is>
          <t>H2 20: 13.8 kV e-house</t>
        </is>
      </c>
      <c r="G5757" s="12" t="inlineStr">
        <is>
          <t>T-H2</t>
        </is>
      </c>
      <c r="H5757" s="12" t="inlineStr">
        <is>
          <t>H2 19: T-H2 230/13.8 kV (about 40 MVA)</t>
        </is>
      </c>
      <c r="I5757" s="12" t="inlineStr">
        <is>
          <t>Control</t>
        </is>
      </c>
      <c r="J5757" s="12" t="inlineStr">
        <is>
          <t>ARMOR-X MC-HL 600 V control, Cu #14 AWG (Class I Div 2)</t>
        </is>
      </c>
      <c r="K5757" s="12" t="inlineStr">
        <is>
          <t>CTAX|7/C|14</t>
        </is>
      </c>
      <c r="L5757" s="12" t="inlineStr">
        <is>
          <t>7/C</t>
        </is>
      </c>
      <c r="M5757" s="12" t="inlineStr">
        <is>
          <t>14</t>
        </is>
      </c>
      <c r="N5757" s="12" t="n">
        <v>1</v>
      </c>
      <c r="O5757" s="12" t="n">
        <v>1</v>
      </c>
      <c r="P5757" s="12" t="n"/>
      <c r="Q5757" s="12" t="n"/>
      <c r="R5757" s="12" t="n"/>
      <c r="S5757" s="12" t="inlineStr">
        <is>
          <t>Duct bank</t>
        </is>
      </c>
      <c r="T5757" s="15" t="n">
        <v>35</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K-C-0002</t>
        </is>
      </c>
      <c r="B5758" s="12" t="inlineStr">
        <is>
          <t>K</t>
        </is>
      </c>
      <c r="C5758" s="12" t="inlineStr">
        <is>
          <t>Fuel supply (adjacent market)</t>
        </is>
      </c>
      <c r="D5758" s="12" t="inlineStr">
        <is>
          <t>Solenoid to JB JB-T-H2-SOL01: 2 x 2/C (field cables)</t>
        </is>
      </c>
      <c r="E5758" s="12" t="inlineStr">
        <is>
          <t>T-H2</t>
        </is>
      </c>
      <c r="F5758" s="12" t="inlineStr">
        <is>
          <t>H2 19: T-H2 230/13.8 kV (about 40 MVA)</t>
        </is>
      </c>
      <c r="G5758" s="12" t="inlineStr">
        <is>
          <t>JB-T-H2-SOL01</t>
        </is>
      </c>
      <c r="H5758" s="12" t="inlineStr">
        <is>
          <t>H2 19: T-H2 230/13.8 kV (about 40 MVA)</t>
        </is>
      </c>
      <c r="I5758" s="12" t="inlineStr">
        <is>
          <t>Control</t>
        </is>
      </c>
      <c r="J5758" s="12" t="inlineStr">
        <is>
          <t>ARMOR-X MC-HL 600 V control, Cu #14 AWG (Class I Div 2)</t>
        </is>
      </c>
      <c r="K5758" s="12" t="inlineStr">
        <is>
          <t>CTAX|2/C|14</t>
        </is>
      </c>
      <c r="L5758" s="12" t="inlineStr">
        <is>
          <t>2/C</t>
        </is>
      </c>
      <c r="M5758" s="12" t="inlineStr">
        <is>
          <t>14</t>
        </is>
      </c>
      <c r="N5758" s="12" t="n">
        <v>2</v>
      </c>
      <c r="O5758" s="12" t="n">
        <v>1</v>
      </c>
      <c r="P5758" s="12" t="n"/>
      <c r="Q5758" s="12" t="n"/>
      <c r="R5758" s="12" t="n"/>
      <c r="S5758" s="12" t="inlineStr">
        <is>
          <t>Tray / conduit</t>
        </is>
      </c>
      <c r="T5758" s="15" t="n">
        <v>80</v>
      </c>
      <c r="U5758" s="15" t="n">
        <v>10</v>
      </c>
      <c r="V5758" s="15">
        <f>ROUNDUP((T5758+U5758+2*'Read Me'!$B$13)*(1+'Read Me'!$B$12),-1)</f>
        <v/>
      </c>
      <c r="W5758" s="15">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K-C-0003</t>
        </is>
      </c>
      <c r="B5759" s="12" t="inlineStr">
        <is>
          <t>K</t>
        </is>
      </c>
      <c r="C5759" s="12" t="inlineStr">
        <is>
          <t>Fuel supply (adjacent market)</t>
        </is>
      </c>
      <c r="D5759" s="12" t="inlineStr">
        <is>
          <t>Home run JB-T-H2-SOL01 to the control / marshalling room</t>
        </is>
      </c>
      <c r="E5759" s="12" t="inlineStr"/>
      <c r="F5759" s="12" t="inlineStr">
        <is>
          <t>H2 20: 13.8 kV e-house</t>
        </is>
      </c>
      <c r="G5759" s="12" t="inlineStr">
        <is>
          <t>JB-T-H2-SOL01</t>
        </is>
      </c>
      <c r="H5759" s="12" t="inlineStr">
        <is>
          <t>H2 19: T-H2 230/13.8 kV (about 40 MVA)</t>
        </is>
      </c>
      <c r="I5759" s="12" t="inlineStr">
        <is>
          <t>Control</t>
        </is>
      </c>
      <c r="J5759" s="12" t="inlineStr">
        <is>
          <t>ARMOR-X MC-HL 600 V control, Cu #14 AWG (Class I Div 2)</t>
        </is>
      </c>
      <c r="K5759" s="12" t="inlineStr">
        <is>
          <t>CTAX|25/C|14</t>
        </is>
      </c>
      <c r="L5759" s="12" t="inlineStr">
        <is>
          <t>25/C</t>
        </is>
      </c>
      <c r="M5759" s="12" t="inlineStr">
        <is>
          <t>14</t>
        </is>
      </c>
      <c r="N5759" s="12" t="n">
        <v>1</v>
      </c>
      <c r="O5759" s="12" t="n">
        <v>1</v>
      </c>
      <c r="P5759" s="12" t="n"/>
      <c r="Q5759" s="12" t="n"/>
      <c r="R5759" s="12" t="n"/>
      <c r="S5759" s="12" t="inlineStr">
        <is>
          <t>Duct bank</t>
        </is>
      </c>
      <c r="T5759" s="15" t="n">
        <v>35</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K-C-0004</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20: 13.8 kV e-house</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Tray</t>
        </is>
      </c>
      <c r="T5760" s="15" t="n">
        <v>0</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K-C-0005</t>
        </is>
      </c>
      <c r="B5761" s="12" t="inlineStr">
        <is>
          <t>K</t>
        </is>
      </c>
      <c r="C5761" s="12" t="inlineStr">
        <is>
          <t>Fuel supply (adjacent market)</t>
        </is>
      </c>
      <c r="D5761" s="12" t="inlineStr">
        <is>
          <t>Solenoid to JB JB-H2 20: 13.8 kV e-h-SOL01: 2 x 2/C (field cables)</t>
        </is>
      </c>
      <c r="E5761" s="12" t="inlineStr"/>
      <c r="F5761" s="12" t="inlineStr">
        <is>
          <t>H2 20: 13.8 kV e-house</t>
        </is>
      </c>
      <c r="G5761" s="12" t="inlineStr">
        <is>
          <t>JB-H2 20: 13.8 kV e-h-SOL01</t>
        </is>
      </c>
      <c r="H5761" s="12" t="inlineStr">
        <is>
          <t>H2 20: 13.8 kV e-house</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69</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K-C-0006</t>
        </is>
      </c>
      <c r="B5762" s="12" t="inlineStr">
        <is>
          <t>K</t>
        </is>
      </c>
      <c r="C5762" s="12" t="inlineStr">
        <is>
          <t>Fuel supply (adjacent market)</t>
        </is>
      </c>
      <c r="D5762" s="12" t="inlineStr">
        <is>
          <t>Home run JB-H2 20: 13.8 kV e-h-SOL01 to the control / marshalling room</t>
        </is>
      </c>
      <c r="E5762" s="12" t="inlineStr"/>
      <c r="F5762" s="12" t="inlineStr">
        <is>
          <t>H2 20: 13.8 kV e-house</t>
        </is>
      </c>
      <c r="G5762" s="12" t="inlineStr">
        <is>
          <t>JB-H2 20: 13.8 kV e-h-SOL01</t>
        </is>
      </c>
      <c r="H5762" s="12" t="inlineStr">
        <is>
          <t>H2 20: 13.8 kV e-house</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Tray</t>
        </is>
      </c>
      <c r="T5762" s="15" t="n">
        <v>0</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K-C-0007</t>
        </is>
      </c>
      <c r="B5763" s="12" t="inlineStr">
        <is>
          <t>K</t>
        </is>
      </c>
      <c r="C5763" s="12" t="inlineStr">
        <is>
          <t>Fuel supply (adjacent market)</t>
        </is>
      </c>
      <c r="D5763" s="12" t="inlineStr">
        <is>
          <t>Motor 1 of 1: control / local station</t>
        </is>
      </c>
      <c r="E5763" s="12" t="inlineStr"/>
      <c r="F5763" s="12" t="inlineStr">
        <is>
          <t>H2 20: 13.8 kV e-house</t>
        </is>
      </c>
      <c r="G5763" s="12" t="inlineStr"/>
      <c r="H5763" s="12" t="inlineStr">
        <is>
          <t>H2 21: rectifier transformer 1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356</v>
      </c>
      <c r="U5763" s="15" t="n">
        <v>48</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K-C-0008</t>
        </is>
      </c>
      <c r="B5764" s="12" t="inlineStr">
        <is>
          <t>K</t>
        </is>
      </c>
      <c r="C5764" s="12" t="inlineStr">
        <is>
          <t>Fuel supply (adjacent market)</t>
        </is>
      </c>
      <c r="D5764" s="12" t="inlineStr">
        <is>
          <t>Solenoid to JB JB-H2 21: rectifier t-SOL01: 2 x 2/C (field cables)</t>
        </is>
      </c>
      <c r="E5764" s="12" t="inlineStr"/>
      <c r="F5764" s="12" t="inlineStr">
        <is>
          <t>H2 21: rectifier transformer 1 (7 MVA)</t>
        </is>
      </c>
      <c r="G5764" s="12" t="inlineStr">
        <is>
          <t>JB-H2 21: rectifier t-SOL01</t>
        </is>
      </c>
      <c r="H5764" s="12" t="inlineStr">
        <is>
          <t>H2 21: rectifier transformer 1 (7 MVA)</t>
        </is>
      </c>
      <c r="I5764" s="12" t="inlineStr">
        <is>
          <t>Control</t>
        </is>
      </c>
      <c r="J5764" s="12" t="inlineStr">
        <is>
          <t>ARMOR-X MC-HL 600 V control, Cu #14 AWG (Class I Div 2)</t>
        </is>
      </c>
      <c r="K5764" s="12" t="inlineStr">
        <is>
          <t>CTAX|2/C|14</t>
        </is>
      </c>
      <c r="L5764" s="12" t="inlineStr">
        <is>
          <t>2/C</t>
        </is>
      </c>
      <c r="M5764" s="12" t="inlineStr">
        <is>
          <t>14</t>
        </is>
      </c>
      <c r="N5764" s="12" t="n">
        <v>2</v>
      </c>
      <c r="O5764" s="12" t="n">
        <v>1</v>
      </c>
      <c r="P5764" s="12" t="n"/>
      <c r="Q5764" s="12" t="n"/>
      <c r="R5764" s="12" t="n"/>
      <c r="S5764" s="12" t="inlineStr">
        <is>
          <t>Tray / conduit</t>
        </is>
      </c>
      <c r="T5764" s="15" t="n">
        <v>41</v>
      </c>
      <c r="U5764" s="15" t="n">
        <v>10</v>
      </c>
      <c r="V5764" s="15">
        <f>ROUNDUP((T5764+U5764+2*'Read Me'!$B$13)*(1+'Read Me'!$B$12),-1)</f>
        <v/>
      </c>
      <c r="W5764" s="15">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K-C-0009</t>
        </is>
      </c>
      <c r="B5765" s="12" t="inlineStr">
        <is>
          <t>K</t>
        </is>
      </c>
      <c r="C5765" s="12" t="inlineStr">
        <is>
          <t>Fuel supply (adjacent market)</t>
        </is>
      </c>
      <c r="D5765" s="12" t="inlineStr">
        <is>
          <t>Home run JB-H2 21: rectifier t-SOL01 to the control / marshalling room</t>
        </is>
      </c>
      <c r="E5765" s="12" t="inlineStr"/>
      <c r="F5765" s="12" t="inlineStr">
        <is>
          <t>H2 20: 13.8 kV e-house</t>
        </is>
      </c>
      <c r="G5765" s="12" t="inlineStr">
        <is>
          <t>JB-H2 21: rectifier t-SOL01</t>
        </is>
      </c>
      <c r="H5765" s="12" t="inlineStr">
        <is>
          <t>H2 21: rectifier transformer 1 (7 MVA)</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5" t="n">
        <v>356</v>
      </c>
      <c r="U5765" s="15" t="n">
        <v>48</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K-C-0010</t>
        </is>
      </c>
      <c r="B5766" s="12" t="inlineStr">
        <is>
          <t>K</t>
        </is>
      </c>
      <c r="C5766" s="12" t="inlineStr">
        <is>
          <t>Fuel supply (adjacent market)</t>
        </is>
      </c>
      <c r="D5766" s="12" t="inlineStr">
        <is>
          <t>Control</t>
        </is>
      </c>
      <c r="E5766" s="12" t="inlineStr"/>
      <c r="F5766" s="12" t="inlineStr">
        <is>
          <t>H2 20: 13.8 kV e-house</t>
        </is>
      </c>
      <c r="G5766" s="12" t="inlineStr"/>
      <c r="H5766" s="12" t="inlineStr">
        <is>
          <t>H2 21: rectifier transformer 1 (7 MVA)</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5" t="n">
        <v>356</v>
      </c>
      <c r="U5766" s="15" t="n">
        <v>48</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K-C-0011</t>
        </is>
      </c>
      <c r="B5767" s="12" t="inlineStr">
        <is>
          <t>K</t>
        </is>
      </c>
      <c r="C5767" s="12" t="inlineStr">
        <is>
          <t>Fuel supply (adjacent market)</t>
        </is>
      </c>
      <c r="D5767" s="12" t="inlineStr">
        <is>
          <t>Control</t>
        </is>
      </c>
      <c r="E5767" s="12" t="inlineStr"/>
      <c r="F5767" s="12" t="inlineStr">
        <is>
          <t>H2 20: 13.8 kV e-house</t>
        </is>
      </c>
      <c r="G5767" s="12" t="inlineStr"/>
      <c r="H5767" s="12" t="inlineStr">
        <is>
          <t>H2 21: rectifier transformer 1 (7 MVA)</t>
        </is>
      </c>
      <c r="I5767" s="12" t="inlineStr">
        <is>
          <t>Control</t>
        </is>
      </c>
      <c r="J5767" s="12" t="inlineStr">
        <is>
          <t>ARMOR-X MC-HL 600 V control, Cu #14 AWG (Class I Div 2)</t>
        </is>
      </c>
      <c r="K5767" s="12" t="inlineStr">
        <is>
          <t>CTAX|12/C|14</t>
        </is>
      </c>
      <c r="L5767" s="12" t="inlineStr">
        <is>
          <t>12/C</t>
        </is>
      </c>
      <c r="M5767" s="12" t="inlineStr">
        <is>
          <t>14</t>
        </is>
      </c>
      <c r="N5767" s="12" t="n">
        <v>1</v>
      </c>
      <c r="O5767" s="12" t="n">
        <v>1</v>
      </c>
      <c r="P5767" s="12" t="n"/>
      <c r="Q5767" s="12" t="n"/>
      <c r="R5767" s="12" t="n"/>
      <c r="S5767" s="12" t="inlineStr">
        <is>
          <t>Duct bank</t>
        </is>
      </c>
      <c r="T5767" s="15" t="n">
        <v>356</v>
      </c>
      <c r="U5767" s="15" t="n">
        <v>48</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K-C-0012</t>
        </is>
      </c>
      <c r="B5768" s="12" t="inlineStr">
        <is>
          <t>K</t>
        </is>
      </c>
      <c r="C5768" s="12" t="inlineStr">
        <is>
          <t>Fuel supply (adjacent market)</t>
        </is>
      </c>
      <c r="D5768" s="12" t="inlineStr">
        <is>
          <t>CT / VT</t>
        </is>
      </c>
      <c r="E5768" s="12" t="inlineStr"/>
      <c r="F5768" s="12" t="inlineStr">
        <is>
          <t>H2 20: 13.8 kV e-house</t>
        </is>
      </c>
      <c r="G5768" s="12" t="inlineStr"/>
      <c r="H5768" s="12" t="inlineStr">
        <is>
          <t>H2 21: rectifier transformer 1 (7 MVA)</t>
        </is>
      </c>
      <c r="I5768" s="12" t="inlineStr">
        <is>
          <t>Control</t>
        </is>
      </c>
      <c r="J5768" s="12" t="inlineStr">
        <is>
          <t>Control cable 600 V Type TC-ER, Cu #10 AWG (CT / VT circuits)</t>
        </is>
      </c>
      <c r="K5768" s="12" t="inlineStr">
        <is>
          <t>CTCT|4/C|10</t>
        </is>
      </c>
      <c r="L5768" s="12" t="inlineStr">
        <is>
          <t>4/C</t>
        </is>
      </c>
      <c r="M5768" s="12" t="inlineStr">
        <is>
          <t>10</t>
        </is>
      </c>
      <c r="N5768" s="12" t="n">
        <v>1</v>
      </c>
      <c r="O5768" s="12" t="n">
        <v>1</v>
      </c>
      <c r="P5768" s="12" t="n"/>
      <c r="Q5768" s="12" t="n"/>
      <c r="R5768" s="12" t="n"/>
      <c r="S5768" s="12" t="inlineStr">
        <is>
          <t>Duct bank</t>
        </is>
      </c>
      <c r="T5768" s="15" t="n">
        <v>356</v>
      </c>
      <c r="U5768" s="15" t="n">
        <v>48</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K-C-0013</t>
        </is>
      </c>
      <c r="B5769" s="12" t="inlineStr">
        <is>
          <t>K</t>
        </is>
      </c>
      <c r="C5769" s="12" t="inlineStr">
        <is>
          <t>Fuel supply (adjacent market)</t>
        </is>
      </c>
      <c r="D5769" s="12" t="inlineStr">
        <is>
          <t>CT / VT</t>
        </is>
      </c>
      <c r="E5769" s="12" t="inlineStr"/>
      <c r="F5769" s="12" t="inlineStr">
        <is>
          <t>H2 20: 13.8 kV e-house</t>
        </is>
      </c>
      <c r="G5769" s="12" t="inlineStr"/>
      <c r="H5769" s="12" t="inlineStr">
        <is>
          <t>H2 21: rectifier transformer 1 (7 MVA)</t>
        </is>
      </c>
      <c r="I5769" s="12" t="inlineStr">
        <is>
          <t>Control</t>
        </is>
      </c>
      <c r="J5769" s="12" t="inlineStr">
        <is>
          <t>Control cable 600 V Type TC-ER, Cu #10 AWG (CT / VT circuits)</t>
        </is>
      </c>
      <c r="K5769" s="12" t="inlineStr">
        <is>
          <t>CTCT|4/C|10</t>
        </is>
      </c>
      <c r="L5769" s="12" t="inlineStr">
        <is>
          <t>4/C</t>
        </is>
      </c>
      <c r="M5769" s="12" t="inlineStr">
        <is>
          <t>10</t>
        </is>
      </c>
      <c r="N5769" s="12" t="n">
        <v>1</v>
      </c>
      <c r="O5769" s="12" t="n">
        <v>1</v>
      </c>
      <c r="P5769" s="12" t="n"/>
      <c r="Q5769" s="12" t="n"/>
      <c r="R5769" s="12" t="n"/>
      <c r="S5769" s="12" t="inlineStr">
        <is>
          <t>Duct bank</t>
        </is>
      </c>
      <c r="T5769" s="15" t="n">
        <v>356</v>
      </c>
      <c r="U5769" s="15" t="n">
        <v>48</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K-C-0014</t>
        </is>
      </c>
      <c r="B5770" s="12" t="inlineStr">
        <is>
          <t>K</t>
        </is>
      </c>
      <c r="C5770" s="12" t="inlineStr">
        <is>
          <t>Fuel supply (adjacent market)</t>
        </is>
      </c>
      <c r="D5770" s="12" t="inlineStr">
        <is>
          <t>Motor 1 of 1: control / local station</t>
        </is>
      </c>
      <c r="E5770" s="12" t="inlineStr"/>
      <c r="F5770" s="12" t="inlineStr">
        <is>
          <t>H2 20: 13.8 kV e-house</t>
        </is>
      </c>
      <c r="G5770" s="12" t="inlineStr"/>
      <c r="H5770" s="12" t="inlineStr">
        <is>
          <t>H2 21: rectifier transformer 2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356</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K-C-0015</t>
        </is>
      </c>
      <c r="B5771" s="12" t="inlineStr">
        <is>
          <t>K</t>
        </is>
      </c>
      <c r="C5771" s="12" t="inlineStr">
        <is>
          <t>Fuel supply (adjacent market)</t>
        </is>
      </c>
      <c r="D5771" s="12" t="inlineStr">
        <is>
          <t>Solenoid to JB JB-H2 21: rectifier t-SOL01: 2 x 2/C (field cables)</t>
        </is>
      </c>
      <c r="E5771" s="12" t="inlineStr"/>
      <c r="F5771" s="12" t="inlineStr">
        <is>
          <t>H2 21: rectifier transformer 2 (7 MVA)</t>
        </is>
      </c>
      <c r="G5771" s="12" t="inlineStr">
        <is>
          <t>JB-H2 21: rectifier t-SOL01</t>
        </is>
      </c>
      <c r="H5771" s="12" t="inlineStr">
        <is>
          <t>H2 21: rectifier transformer 2 (7 MVA)</t>
        </is>
      </c>
      <c r="I5771" s="12" t="inlineStr">
        <is>
          <t>Control</t>
        </is>
      </c>
      <c r="J5771" s="12" t="inlineStr">
        <is>
          <t>ARMOR-X MC-HL 600 V control, Cu #14 AWG (Class I Div 2)</t>
        </is>
      </c>
      <c r="K5771" s="12" t="inlineStr">
        <is>
          <t>CTAX|2/C|14</t>
        </is>
      </c>
      <c r="L5771" s="12" t="inlineStr">
        <is>
          <t>2/C</t>
        </is>
      </c>
      <c r="M5771" s="12" t="inlineStr">
        <is>
          <t>14</t>
        </is>
      </c>
      <c r="N5771" s="12" t="n">
        <v>2</v>
      </c>
      <c r="O5771" s="12" t="n">
        <v>1</v>
      </c>
      <c r="P5771" s="12" t="n"/>
      <c r="Q5771" s="12" t="n"/>
      <c r="R5771" s="12" t="n"/>
      <c r="S5771" s="12" t="inlineStr">
        <is>
          <t>Tray / conduit</t>
        </is>
      </c>
      <c r="T5771" s="15" t="n">
        <v>41</v>
      </c>
      <c r="U5771" s="15" t="n">
        <v>10</v>
      </c>
      <c r="V5771" s="15">
        <f>ROUNDUP((T5771+U5771+2*'Read Me'!$B$13)*(1+'Read Me'!$B$12),-1)</f>
        <v/>
      </c>
      <c r="W5771" s="15">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K-C-0016</t>
        </is>
      </c>
      <c r="B5772" s="12" t="inlineStr">
        <is>
          <t>K</t>
        </is>
      </c>
      <c r="C5772" s="12" t="inlineStr">
        <is>
          <t>Fuel supply (adjacent market)</t>
        </is>
      </c>
      <c r="D5772" s="12" t="inlineStr">
        <is>
          <t>Home run JB-H2 21: rectifier t-SOL01 to the control / marshalling room</t>
        </is>
      </c>
      <c r="E5772" s="12" t="inlineStr"/>
      <c r="F5772" s="12" t="inlineStr">
        <is>
          <t>H2 20: 13.8 kV e-house</t>
        </is>
      </c>
      <c r="G5772" s="12" t="inlineStr">
        <is>
          <t>JB-H2 21: rectifier t-SOL01</t>
        </is>
      </c>
      <c r="H5772" s="12" t="inlineStr">
        <is>
          <t>H2 21: rectifier transformer 2 (7 MVA)</t>
        </is>
      </c>
      <c r="I5772" s="12" t="inlineStr">
        <is>
          <t>Control</t>
        </is>
      </c>
      <c r="J5772" s="12" t="inlineStr">
        <is>
          <t>ARMOR-X MC-HL 600 V control, Cu #14 AWG (Class I Div 2)</t>
        </is>
      </c>
      <c r="K5772" s="12" t="inlineStr">
        <is>
          <t>CTAX|25/C|14</t>
        </is>
      </c>
      <c r="L5772" s="12" t="inlineStr">
        <is>
          <t>25/C</t>
        </is>
      </c>
      <c r="M5772" s="12" t="inlineStr">
        <is>
          <t>14</t>
        </is>
      </c>
      <c r="N5772" s="12" t="n">
        <v>1</v>
      </c>
      <c r="O5772" s="12" t="n">
        <v>1</v>
      </c>
      <c r="P5772" s="12" t="n"/>
      <c r="Q5772" s="12" t="n"/>
      <c r="R5772" s="12" t="n"/>
      <c r="S5772" s="12" t="inlineStr">
        <is>
          <t>Duct bank</t>
        </is>
      </c>
      <c r="T5772" s="15" t="n">
        <v>356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K-C-0017</t>
        </is>
      </c>
      <c r="B5773" s="12" t="inlineStr">
        <is>
          <t>K</t>
        </is>
      </c>
      <c r="C5773" s="12" t="inlineStr">
        <is>
          <t>Fuel supply (adjacent market)</t>
        </is>
      </c>
      <c r="D5773" s="12" t="inlineStr">
        <is>
          <t>Control</t>
        </is>
      </c>
      <c r="E5773" s="12" t="inlineStr"/>
      <c r="F5773" s="12" t="inlineStr">
        <is>
          <t>H2 20: 13.8 kV e-house</t>
        </is>
      </c>
      <c r="G5773" s="12" t="inlineStr"/>
      <c r="H5773" s="12" t="inlineStr">
        <is>
          <t>H2 21: rectifier transformer 2 (7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356</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K-C-0018</t>
        </is>
      </c>
      <c r="B5774" s="12" t="inlineStr">
        <is>
          <t>K</t>
        </is>
      </c>
      <c r="C5774" s="12" t="inlineStr">
        <is>
          <t>Fuel supply (adjacent market)</t>
        </is>
      </c>
      <c r="D5774" s="12" t="inlineStr">
        <is>
          <t>Control</t>
        </is>
      </c>
      <c r="E5774" s="12" t="inlineStr"/>
      <c r="F5774" s="12" t="inlineStr">
        <is>
          <t>H2 20: 13.8 kV e-house</t>
        </is>
      </c>
      <c r="G5774" s="12" t="inlineStr"/>
      <c r="H5774" s="12" t="inlineStr">
        <is>
          <t>H2 21: rectifier transformer 2 (7 MVA)</t>
        </is>
      </c>
      <c r="I5774" s="12" t="inlineStr">
        <is>
          <t>Control</t>
        </is>
      </c>
      <c r="J5774" s="12" t="inlineStr">
        <is>
          <t>ARMOR-X MC-HL 600 V control, Cu #14 AWG (Class I Div 2)</t>
        </is>
      </c>
      <c r="K5774" s="12" t="inlineStr">
        <is>
          <t>CTAX|12/C|14</t>
        </is>
      </c>
      <c r="L5774" s="12" t="inlineStr">
        <is>
          <t>12/C</t>
        </is>
      </c>
      <c r="M5774" s="12" t="inlineStr">
        <is>
          <t>14</t>
        </is>
      </c>
      <c r="N5774" s="12" t="n">
        <v>1</v>
      </c>
      <c r="O5774" s="12" t="n">
        <v>1</v>
      </c>
      <c r="P5774" s="12" t="n"/>
      <c r="Q5774" s="12" t="n"/>
      <c r="R5774" s="12" t="n"/>
      <c r="S5774" s="12" t="inlineStr">
        <is>
          <t>Duct bank</t>
        </is>
      </c>
      <c r="T5774" s="15" t="n">
        <v>356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K-C-0019</t>
        </is>
      </c>
      <c r="B5775" s="12" t="inlineStr">
        <is>
          <t>K</t>
        </is>
      </c>
      <c r="C5775" s="12" t="inlineStr">
        <is>
          <t>Fuel supply (adjacent market)</t>
        </is>
      </c>
      <c r="D5775" s="12" t="inlineStr">
        <is>
          <t>CT / VT</t>
        </is>
      </c>
      <c r="E5775" s="12" t="inlineStr"/>
      <c r="F5775" s="12" t="inlineStr">
        <is>
          <t>H2 20: 13.8 kV e-house</t>
        </is>
      </c>
      <c r="G5775" s="12" t="inlineStr"/>
      <c r="H5775" s="12" t="inlineStr">
        <is>
          <t>H2 21: rectifier transformer 2 (7 MVA)</t>
        </is>
      </c>
      <c r="I5775" s="12" t="inlineStr">
        <is>
          <t>Control</t>
        </is>
      </c>
      <c r="J5775" s="12" t="inlineStr">
        <is>
          <t>Control cable 600 V Type TC-ER, Cu #10 AWG (CT / VT circuits)</t>
        </is>
      </c>
      <c r="K5775" s="12" t="inlineStr">
        <is>
          <t>CTCT|4/C|10</t>
        </is>
      </c>
      <c r="L5775" s="12" t="inlineStr">
        <is>
          <t>4/C</t>
        </is>
      </c>
      <c r="M5775" s="12" t="inlineStr">
        <is>
          <t>10</t>
        </is>
      </c>
      <c r="N5775" s="12" t="n">
        <v>1</v>
      </c>
      <c r="O5775" s="12" t="n">
        <v>1</v>
      </c>
      <c r="P5775" s="12" t="n"/>
      <c r="Q5775" s="12" t="n"/>
      <c r="R5775" s="12" t="n"/>
      <c r="S5775" s="12" t="inlineStr">
        <is>
          <t>Duct bank</t>
        </is>
      </c>
      <c r="T5775" s="15" t="n">
        <v>356</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K-C-0020</t>
        </is>
      </c>
      <c r="B5776" s="12" t="inlineStr">
        <is>
          <t>K</t>
        </is>
      </c>
      <c r="C5776" s="12" t="inlineStr">
        <is>
          <t>Fuel supply (adjacent market)</t>
        </is>
      </c>
      <c r="D5776" s="12" t="inlineStr">
        <is>
          <t>CT / VT</t>
        </is>
      </c>
      <c r="E5776" s="12" t="inlineStr"/>
      <c r="F5776" s="12" t="inlineStr">
        <is>
          <t>H2 20: 13.8 kV e-house</t>
        </is>
      </c>
      <c r="G5776" s="12" t="inlineStr"/>
      <c r="H5776" s="12" t="inlineStr">
        <is>
          <t>H2 21: rectifier transformer 2 (7 MVA)</t>
        </is>
      </c>
      <c r="I5776" s="12" t="inlineStr">
        <is>
          <t>Control</t>
        </is>
      </c>
      <c r="J5776" s="12" t="inlineStr">
        <is>
          <t>Control cable 600 V Type TC-ER, Cu #10 AWG (CT / VT circuits)</t>
        </is>
      </c>
      <c r="K5776" s="12" t="inlineStr">
        <is>
          <t>CTCT|4/C|10</t>
        </is>
      </c>
      <c r="L5776" s="12" t="inlineStr">
        <is>
          <t>4/C</t>
        </is>
      </c>
      <c r="M5776" s="12" t="inlineStr">
        <is>
          <t>10</t>
        </is>
      </c>
      <c r="N5776" s="12" t="n">
        <v>1</v>
      </c>
      <c r="O5776" s="12" t="n">
        <v>1</v>
      </c>
      <c r="P5776" s="12" t="n"/>
      <c r="Q5776" s="12" t="n"/>
      <c r="R5776" s="12" t="n"/>
      <c r="S5776" s="12" t="inlineStr">
        <is>
          <t>Duct bank</t>
        </is>
      </c>
      <c r="T5776" s="15" t="n">
        <v>356</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K-C-0021</t>
        </is>
      </c>
      <c r="B5777" s="12" t="inlineStr">
        <is>
          <t>K</t>
        </is>
      </c>
      <c r="C5777" s="12" t="inlineStr">
        <is>
          <t>Fuel supply (adjacent market)</t>
        </is>
      </c>
      <c r="D5777" s="12" t="inlineStr">
        <is>
          <t>Motor 1 of 1: control / local station</t>
        </is>
      </c>
      <c r="E5777" s="12" t="inlineStr"/>
      <c r="F5777" s="12" t="inlineStr">
        <is>
          <t>H2 20: 13.8 kV e-house</t>
        </is>
      </c>
      <c r="G5777" s="12" t="inlineStr"/>
      <c r="H5777" s="12" t="inlineStr">
        <is>
          <t>H2 21: rectifier transformer 3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334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K-C-0022</t>
        </is>
      </c>
      <c r="B5778" s="12" t="inlineStr">
        <is>
          <t>K</t>
        </is>
      </c>
      <c r="C5778" s="12" t="inlineStr">
        <is>
          <t>Fuel supply (adjacent market)</t>
        </is>
      </c>
      <c r="D5778" s="12" t="inlineStr">
        <is>
          <t>Solenoid to JB JB-H2 21: rectifier t-SOL01: 2 x 2/C (field cables)</t>
        </is>
      </c>
      <c r="E5778" s="12" t="inlineStr"/>
      <c r="F5778" s="12" t="inlineStr">
        <is>
          <t>H2 21: rectifier transformer 3 (7 MVA)</t>
        </is>
      </c>
      <c r="G5778" s="12" t="inlineStr">
        <is>
          <t>JB-H2 21: rectifier t-SOL01</t>
        </is>
      </c>
      <c r="H5778" s="12" t="inlineStr">
        <is>
          <t>H2 21: rectifier transformer 3 (7 MVA)</t>
        </is>
      </c>
      <c r="I5778" s="12" t="inlineStr">
        <is>
          <t>Control</t>
        </is>
      </c>
      <c r="J5778" s="12" t="inlineStr">
        <is>
          <t>ARMOR-X MC-HL 600 V control, Cu #14 AWG (Class I Div 2)</t>
        </is>
      </c>
      <c r="K5778" s="12" t="inlineStr">
        <is>
          <t>CTAX|2/C|14</t>
        </is>
      </c>
      <c r="L5778" s="12" t="inlineStr">
        <is>
          <t>2/C</t>
        </is>
      </c>
      <c r="M5778" s="12" t="inlineStr">
        <is>
          <t>14</t>
        </is>
      </c>
      <c r="N5778" s="12" t="n">
        <v>2</v>
      </c>
      <c r="O5778" s="12" t="n">
        <v>1</v>
      </c>
      <c r="P5778" s="12" t="n"/>
      <c r="Q5778" s="12" t="n"/>
      <c r="R5778" s="12" t="n"/>
      <c r="S5778" s="12" t="inlineStr">
        <is>
          <t>Tray / conduit</t>
        </is>
      </c>
      <c r="T5778" s="15" t="n">
        <v>41</v>
      </c>
      <c r="U5778" s="15" t="n">
        <v>10</v>
      </c>
      <c r="V5778" s="15">
        <f>ROUNDUP((T5778+U5778+2*'Read Me'!$B$13)*(1+'Read Me'!$B$12),-1)</f>
        <v/>
      </c>
      <c r="W5778" s="15">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K-C-0023</t>
        </is>
      </c>
      <c r="B5779" s="12" t="inlineStr">
        <is>
          <t>K</t>
        </is>
      </c>
      <c r="C5779" s="12" t="inlineStr">
        <is>
          <t>Fuel supply (adjacent market)</t>
        </is>
      </c>
      <c r="D5779" s="12" t="inlineStr">
        <is>
          <t>Home run JB-H2 21: rectifier t-SOL01 to the control / marshalling room</t>
        </is>
      </c>
      <c r="E5779" s="12" t="inlineStr"/>
      <c r="F5779" s="12" t="inlineStr">
        <is>
          <t>H2 20: 13.8 kV e-house</t>
        </is>
      </c>
      <c r="G5779" s="12" t="inlineStr">
        <is>
          <t>JB-H2 21: rectifier t-SOL01</t>
        </is>
      </c>
      <c r="H5779" s="12" t="inlineStr">
        <is>
          <t>H2 21: rectifier transformer 3 (7 MVA)</t>
        </is>
      </c>
      <c r="I5779" s="12" t="inlineStr">
        <is>
          <t>Control</t>
        </is>
      </c>
      <c r="J5779" s="12" t="inlineStr">
        <is>
          <t>ARMOR-X MC-HL 600 V control, Cu #14 AWG (Class I Div 2)</t>
        </is>
      </c>
      <c r="K5779" s="12" t="inlineStr">
        <is>
          <t>CTAX|25/C|14</t>
        </is>
      </c>
      <c r="L5779" s="12" t="inlineStr">
        <is>
          <t>25/C</t>
        </is>
      </c>
      <c r="M5779" s="12" t="inlineStr">
        <is>
          <t>14</t>
        </is>
      </c>
      <c r="N5779" s="12" t="n">
        <v>1</v>
      </c>
      <c r="O5779" s="12" t="n">
        <v>1</v>
      </c>
      <c r="P5779" s="12" t="n"/>
      <c r="Q5779" s="12" t="n"/>
      <c r="R5779" s="12" t="n"/>
      <c r="S5779" s="12" t="inlineStr">
        <is>
          <t>Duct bank</t>
        </is>
      </c>
      <c r="T5779" s="15" t="n">
        <v>334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K-C-0024</t>
        </is>
      </c>
      <c r="B5780" s="12" t="inlineStr">
        <is>
          <t>K</t>
        </is>
      </c>
      <c r="C5780" s="12" t="inlineStr">
        <is>
          <t>Fuel supply (adjacent market)</t>
        </is>
      </c>
      <c r="D5780" s="12" t="inlineStr">
        <is>
          <t>Control</t>
        </is>
      </c>
      <c r="E5780" s="12" t="inlineStr"/>
      <c r="F5780" s="12" t="inlineStr">
        <is>
          <t>H2 20: 13.8 kV e-house</t>
        </is>
      </c>
      <c r="G5780" s="12" t="inlineStr"/>
      <c r="H5780" s="12" t="inlineStr">
        <is>
          <t>H2 21: rectifier transformer 3 (7 MVA)</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334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K-C-0025</t>
        </is>
      </c>
      <c r="B5781" s="12" t="inlineStr">
        <is>
          <t>K</t>
        </is>
      </c>
      <c r="C5781" s="12" t="inlineStr">
        <is>
          <t>Fuel supply (adjacent market)</t>
        </is>
      </c>
      <c r="D5781" s="12" t="inlineStr">
        <is>
          <t>Control</t>
        </is>
      </c>
      <c r="E5781" s="12" t="inlineStr"/>
      <c r="F5781" s="12" t="inlineStr">
        <is>
          <t>H2 20: 13.8 kV e-house</t>
        </is>
      </c>
      <c r="G5781" s="12" t="inlineStr"/>
      <c r="H5781" s="12" t="inlineStr">
        <is>
          <t>H2 21: rectifier transformer 3 (7 MVA)</t>
        </is>
      </c>
      <c r="I5781" s="12" t="inlineStr">
        <is>
          <t>Control</t>
        </is>
      </c>
      <c r="J5781" s="12" t="inlineStr">
        <is>
          <t>ARMOR-X MC-HL 600 V control, Cu #14 AWG (Class I Div 2)</t>
        </is>
      </c>
      <c r="K5781" s="12" t="inlineStr">
        <is>
          <t>CTAX|12/C|14</t>
        </is>
      </c>
      <c r="L5781" s="12" t="inlineStr">
        <is>
          <t>12/C</t>
        </is>
      </c>
      <c r="M5781" s="12" t="inlineStr">
        <is>
          <t>14</t>
        </is>
      </c>
      <c r="N5781" s="12" t="n">
        <v>1</v>
      </c>
      <c r="O5781" s="12" t="n">
        <v>1</v>
      </c>
      <c r="P5781" s="12" t="n"/>
      <c r="Q5781" s="12" t="n"/>
      <c r="R5781" s="12" t="n"/>
      <c r="S5781" s="12" t="inlineStr">
        <is>
          <t>Duct bank</t>
        </is>
      </c>
      <c r="T5781" s="15" t="n">
        <v>334</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K-C-0026</t>
        </is>
      </c>
      <c r="B5782" s="12" t="inlineStr">
        <is>
          <t>K</t>
        </is>
      </c>
      <c r="C5782" s="12" t="inlineStr">
        <is>
          <t>Fuel supply (adjacent market)</t>
        </is>
      </c>
      <c r="D5782" s="12" t="inlineStr">
        <is>
          <t>CT / VT</t>
        </is>
      </c>
      <c r="E5782" s="12" t="inlineStr"/>
      <c r="F5782" s="12" t="inlineStr">
        <is>
          <t>H2 20: 13.8 kV e-house</t>
        </is>
      </c>
      <c r="G5782" s="12" t="inlineStr"/>
      <c r="H5782" s="12" t="inlineStr">
        <is>
          <t>H2 21: rectifier transformer 3 (7 MVA)</t>
        </is>
      </c>
      <c r="I5782" s="12" t="inlineStr">
        <is>
          <t>Control</t>
        </is>
      </c>
      <c r="J5782" s="12" t="inlineStr">
        <is>
          <t>Control cable 600 V Type TC-ER, Cu #10 AWG (CT / VT circuits)</t>
        </is>
      </c>
      <c r="K5782" s="12" t="inlineStr">
        <is>
          <t>CTCT|4/C|10</t>
        </is>
      </c>
      <c r="L5782" s="12" t="inlineStr">
        <is>
          <t>4/C</t>
        </is>
      </c>
      <c r="M5782" s="12" t="inlineStr">
        <is>
          <t>10</t>
        </is>
      </c>
      <c r="N5782" s="12" t="n">
        <v>1</v>
      </c>
      <c r="O5782" s="12" t="n">
        <v>1</v>
      </c>
      <c r="P5782" s="12" t="n"/>
      <c r="Q5782" s="12" t="n"/>
      <c r="R5782" s="12" t="n"/>
      <c r="S5782" s="12" t="inlineStr">
        <is>
          <t>Duct bank</t>
        </is>
      </c>
      <c r="T5782" s="15" t="n">
        <v>334</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K-C-0027</t>
        </is>
      </c>
      <c r="B5783" s="12" t="inlineStr">
        <is>
          <t>K</t>
        </is>
      </c>
      <c r="C5783" s="12" t="inlineStr">
        <is>
          <t>Fuel supply (adjacent market)</t>
        </is>
      </c>
      <c r="D5783" s="12" t="inlineStr">
        <is>
          <t>CT / VT</t>
        </is>
      </c>
      <c r="E5783" s="12" t="inlineStr"/>
      <c r="F5783" s="12" t="inlineStr">
        <is>
          <t>H2 20: 13.8 kV e-house</t>
        </is>
      </c>
      <c r="G5783" s="12" t="inlineStr"/>
      <c r="H5783" s="12" t="inlineStr">
        <is>
          <t>H2 21: rectifier transformer 3 (7 MVA)</t>
        </is>
      </c>
      <c r="I5783" s="12" t="inlineStr">
        <is>
          <t>Control</t>
        </is>
      </c>
      <c r="J5783" s="12" t="inlineStr">
        <is>
          <t>Control cable 600 V Type TC-ER, Cu #10 AWG (CT / VT circuits)</t>
        </is>
      </c>
      <c r="K5783" s="12" t="inlineStr">
        <is>
          <t>CTCT|4/C|10</t>
        </is>
      </c>
      <c r="L5783" s="12" t="inlineStr">
        <is>
          <t>4/C</t>
        </is>
      </c>
      <c r="M5783" s="12" t="inlineStr">
        <is>
          <t>10</t>
        </is>
      </c>
      <c r="N5783" s="12" t="n">
        <v>1</v>
      </c>
      <c r="O5783" s="12" t="n">
        <v>1</v>
      </c>
      <c r="P5783" s="12" t="n"/>
      <c r="Q5783" s="12" t="n"/>
      <c r="R5783" s="12" t="n"/>
      <c r="S5783" s="12" t="inlineStr">
        <is>
          <t>Duct bank</t>
        </is>
      </c>
      <c r="T5783" s="15" t="n">
        <v>334</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K-C-0028</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21: rectifier transformer 4 (7 MVA)</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312</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K-C-0029</t>
        </is>
      </c>
      <c r="B5785" s="12" t="inlineStr">
        <is>
          <t>K</t>
        </is>
      </c>
      <c r="C5785" s="12" t="inlineStr">
        <is>
          <t>Fuel supply (adjacent market)</t>
        </is>
      </c>
      <c r="D5785" s="12" t="inlineStr">
        <is>
          <t>Solenoid to JB JB-H2 21: rectifier t-SOL01: 2 x 2/C (field cables)</t>
        </is>
      </c>
      <c r="E5785" s="12" t="inlineStr"/>
      <c r="F5785" s="12" t="inlineStr">
        <is>
          <t>H2 21: rectifier transformer 4 (7 MVA)</t>
        </is>
      </c>
      <c r="G5785" s="12" t="inlineStr">
        <is>
          <t>JB-H2 21: rectifier t-SOL01</t>
        </is>
      </c>
      <c r="H5785" s="12" t="inlineStr">
        <is>
          <t>H2 21: rectifier transformer 4 (7 MVA)</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41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K-C-0030</t>
        </is>
      </c>
      <c r="B5786" s="12" t="inlineStr">
        <is>
          <t>K</t>
        </is>
      </c>
      <c r="C5786" s="12" t="inlineStr">
        <is>
          <t>Fuel supply (adjacent market)</t>
        </is>
      </c>
      <c r="D5786" s="12" t="inlineStr">
        <is>
          <t>Home run JB-H2 21: rectifier t-SOL01 to the control / marshalling room</t>
        </is>
      </c>
      <c r="E5786" s="12" t="inlineStr"/>
      <c r="F5786" s="12" t="inlineStr">
        <is>
          <t>H2 20: 13.8 kV e-house</t>
        </is>
      </c>
      <c r="G5786" s="12" t="inlineStr">
        <is>
          <t>JB-H2 21: rectifier t-SOL01</t>
        </is>
      </c>
      <c r="H5786" s="12" t="inlineStr">
        <is>
          <t>H2 21: rectifier transformer 4 (7 MVA)</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312</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K-C-0031</t>
        </is>
      </c>
      <c r="B5787" s="12" t="inlineStr">
        <is>
          <t>K</t>
        </is>
      </c>
      <c r="C5787" s="12" t="inlineStr">
        <is>
          <t>Fuel supply (adjacent market)</t>
        </is>
      </c>
      <c r="D5787" s="12" t="inlineStr">
        <is>
          <t>Control</t>
        </is>
      </c>
      <c r="E5787" s="12" t="inlineStr"/>
      <c r="F5787" s="12" t="inlineStr">
        <is>
          <t>H2 20: 13.8 kV e-house</t>
        </is>
      </c>
      <c r="G5787" s="12" t="inlineStr"/>
      <c r="H5787" s="12" t="inlineStr">
        <is>
          <t>H2 21: rectifier transformer 4 (7 MVA)</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312</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K-C-0032</t>
        </is>
      </c>
      <c r="B5788" s="12" t="inlineStr">
        <is>
          <t>K</t>
        </is>
      </c>
      <c r="C5788" s="12" t="inlineStr">
        <is>
          <t>Fuel supply (adjacent market)</t>
        </is>
      </c>
      <c r="D5788" s="12" t="inlineStr">
        <is>
          <t>Control</t>
        </is>
      </c>
      <c r="E5788" s="12" t="inlineStr"/>
      <c r="F5788" s="12" t="inlineStr">
        <is>
          <t>H2 20: 13.8 kV e-house</t>
        </is>
      </c>
      <c r="G5788" s="12" t="inlineStr"/>
      <c r="H5788" s="12" t="inlineStr">
        <is>
          <t>H2 21: rectifier transformer 4 (7 MVA)</t>
        </is>
      </c>
      <c r="I5788" s="12" t="inlineStr">
        <is>
          <t>Control</t>
        </is>
      </c>
      <c r="J5788" s="12" t="inlineStr">
        <is>
          <t>ARMOR-X MC-HL 600 V control, Cu #14 AWG (Class I Div 2)</t>
        </is>
      </c>
      <c r="K5788" s="12" t="inlineStr">
        <is>
          <t>CTAX|12/C|14</t>
        </is>
      </c>
      <c r="L5788" s="12" t="inlineStr">
        <is>
          <t>12/C</t>
        </is>
      </c>
      <c r="M5788" s="12" t="inlineStr">
        <is>
          <t>14</t>
        </is>
      </c>
      <c r="N5788" s="12" t="n">
        <v>1</v>
      </c>
      <c r="O5788" s="12" t="n">
        <v>1</v>
      </c>
      <c r="P5788" s="12" t="n"/>
      <c r="Q5788" s="12" t="n"/>
      <c r="R5788" s="12" t="n"/>
      <c r="S5788" s="12" t="inlineStr">
        <is>
          <t>Duct bank</t>
        </is>
      </c>
      <c r="T5788" s="15" t="n">
        <v>312</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K-C-0033</t>
        </is>
      </c>
      <c r="B5789" s="12" t="inlineStr">
        <is>
          <t>K</t>
        </is>
      </c>
      <c r="C5789" s="12" t="inlineStr">
        <is>
          <t>Fuel supply (adjacent market)</t>
        </is>
      </c>
      <c r="D5789" s="12" t="inlineStr">
        <is>
          <t>CT / VT</t>
        </is>
      </c>
      <c r="E5789" s="12" t="inlineStr"/>
      <c r="F5789" s="12" t="inlineStr">
        <is>
          <t>H2 20: 13.8 kV e-house</t>
        </is>
      </c>
      <c r="G5789" s="12" t="inlineStr"/>
      <c r="H5789" s="12" t="inlineStr">
        <is>
          <t>H2 21: rectifier transformer 4 (7 MVA)</t>
        </is>
      </c>
      <c r="I5789" s="12" t="inlineStr">
        <is>
          <t>Control</t>
        </is>
      </c>
      <c r="J5789" s="12" t="inlineStr">
        <is>
          <t>Control cable 600 V Type TC-ER, Cu #10 AWG (CT / VT circuits)</t>
        </is>
      </c>
      <c r="K5789" s="12" t="inlineStr">
        <is>
          <t>CTCT|4/C|10</t>
        </is>
      </c>
      <c r="L5789" s="12" t="inlineStr">
        <is>
          <t>4/C</t>
        </is>
      </c>
      <c r="M5789" s="12" t="inlineStr">
        <is>
          <t>10</t>
        </is>
      </c>
      <c r="N5789" s="12" t="n">
        <v>1</v>
      </c>
      <c r="O5789" s="12" t="n">
        <v>1</v>
      </c>
      <c r="P5789" s="12" t="n"/>
      <c r="Q5789" s="12" t="n"/>
      <c r="R5789" s="12" t="n"/>
      <c r="S5789" s="12" t="inlineStr">
        <is>
          <t>Duct bank</t>
        </is>
      </c>
      <c r="T5789" s="15" t="n">
        <v>312</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K-C-0034</t>
        </is>
      </c>
      <c r="B5790" s="12" t="inlineStr">
        <is>
          <t>K</t>
        </is>
      </c>
      <c r="C5790" s="12" t="inlineStr">
        <is>
          <t>Fuel supply (adjacent market)</t>
        </is>
      </c>
      <c r="D5790" s="12" t="inlineStr">
        <is>
          <t>CT / VT</t>
        </is>
      </c>
      <c r="E5790" s="12" t="inlineStr"/>
      <c r="F5790" s="12" t="inlineStr">
        <is>
          <t>H2 20: 13.8 kV e-house</t>
        </is>
      </c>
      <c r="G5790" s="12" t="inlineStr"/>
      <c r="H5790" s="12" t="inlineStr">
        <is>
          <t>H2 21: rectifier transformer 4 (7 MVA)</t>
        </is>
      </c>
      <c r="I5790" s="12" t="inlineStr">
        <is>
          <t>Control</t>
        </is>
      </c>
      <c r="J5790" s="12" t="inlineStr">
        <is>
          <t>Control cable 600 V Type TC-ER, Cu #10 AWG (CT / VT circuits)</t>
        </is>
      </c>
      <c r="K5790" s="12" t="inlineStr">
        <is>
          <t>CTCT|4/C|10</t>
        </is>
      </c>
      <c r="L5790" s="12" t="inlineStr">
        <is>
          <t>4/C</t>
        </is>
      </c>
      <c r="M5790" s="12" t="inlineStr">
        <is>
          <t>10</t>
        </is>
      </c>
      <c r="N5790" s="12" t="n">
        <v>1</v>
      </c>
      <c r="O5790" s="12" t="n">
        <v>1</v>
      </c>
      <c r="P5790" s="12" t="n"/>
      <c r="Q5790" s="12" t="n"/>
      <c r="R5790" s="12" t="n"/>
      <c r="S5790" s="12" t="inlineStr">
        <is>
          <t>Duct bank</t>
        </is>
      </c>
      <c r="T5790" s="15" t="n">
        <v>312</v>
      </c>
      <c r="U5790" s="15" t="n">
        <v>32</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K-C-0035</t>
        </is>
      </c>
      <c r="B5791" s="12" t="inlineStr">
        <is>
          <t>K</t>
        </is>
      </c>
      <c r="C5791" s="12" t="inlineStr">
        <is>
          <t>Fuel supply (adjacent market)</t>
        </is>
      </c>
      <c r="D5791" s="12" t="inlineStr">
        <is>
          <t>Motor 1 of 1: control / local station</t>
        </is>
      </c>
      <c r="E5791" s="12" t="inlineStr"/>
      <c r="F5791" s="12" t="inlineStr">
        <is>
          <t>H2 20: 13.8 kV e-house</t>
        </is>
      </c>
      <c r="G5791" s="12" t="inlineStr"/>
      <c r="H5791" s="12" t="inlineStr">
        <is>
          <t>H2 21: rectifier transformer 5 (7 MVA)</t>
        </is>
      </c>
      <c r="I5791" s="12" t="inlineStr">
        <is>
          <t>Control</t>
        </is>
      </c>
      <c r="J5791" s="12" t="inlineStr">
        <is>
          <t>ARMOR-X MC-HL 600 V control, Cu #14 AWG (Class I Div 2)</t>
        </is>
      </c>
      <c r="K5791" s="12" t="inlineStr">
        <is>
          <t>CTAX|7/C|14</t>
        </is>
      </c>
      <c r="L5791" s="12" t="inlineStr">
        <is>
          <t>7/C</t>
        </is>
      </c>
      <c r="M5791" s="12" t="inlineStr">
        <is>
          <t>14</t>
        </is>
      </c>
      <c r="N5791" s="12" t="n">
        <v>1</v>
      </c>
      <c r="O5791" s="12" t="n">
        <v>1</v>
      </c>
      <c r="P5791" s="12" t="n"/>
      <c r="Q5791" s="12" t="n"/>
      <c r="R5791" s="12" t="n"/>
      <c r="S5791" s="12" t="inlineStr">
        <is>
          <t>Duct bank</t>
        </is>
      </c>
      <c r="T5791" s="15" t="n">
        <v>254</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K-C-0036</t>
        </is>
      </c>
      <c r="B5792" s="12" t="inlineStr">
        <is>
          <t>K</t>
        </is>
      </c>
      <c r="C5792" s="12" t="inlineStr">
        <is>
          <t>Fuel supply (adjacent market)</t>
        </is>
      </c>
      <c r="D5792" s="12" t="inlineStr">
        <is>
          <t>Solenoid to JB JB-H2 21: rectifier t-SOL01: 2 x 2/C (field cables)</t>
        </is>
      </c>
      <c r="E5792" s="12" t="inlineStr"/>
      <c r="F5792" s="12" t="inlineStr">
        <is>
          <t>H2 21: rectifier transformer 5 (7 MVA)</t>
        </is>
      </c>
      <c r="G5792" s="12" t="inlineStr">
        <is>
          <t>JB-H2 21: rectifier t-SOL01</t>
        </is>
      </c>
      <c r="H5792" s="12" t="inlineStr">
        <is>
          <t>H2 21: rectifier transformer 5 (7 MVA)</t>
        </is>
      </c>
      <c r="I5792" s="12" t="inlineStr">
        <is>
          <t>Control</t>
        </is>
      </c>
      <c r="J5792" s="12" t="inlineStr">
        <is>
          <t>ARMOR-X MC-HL 600 V control, Cu #14 AWG (Class I Div 2)</t>
        </is>
      </c>
      <c r="K5792" s="12" t="inlineStr">
        <is>
          <t>CTAX|2/C|14</t>
        </is>
      </c>
      <c r="L5792" s="12" t="inlineStr">
        <is>
          <t>2/C</t>
        </is>
      </c>
      <c r="M5792" s="12" t="inlineStr">
        <is>
          <t>14</t>
        </is>
      </c>
      <c r="N5792" s="12" t="n">
        <v>2</v>
      </c>
      <c r="O5792" s="12" t="n">
        <v>1</v>
      </c>
      <c r="P5792" s="12" t="n"/>
      <c r="Q5792" s="12" t="n"/>
      <c r="R5792" s="12" t="n"/>
      <c r="S5792" s="12" t="inlineStr">
        <is>
          <t>Tray / conduit</t>
        </is>
      </c>
      <c r="T5792" s="15" t="n">
        <v>41</v>
      </c>
      <c r="U5792" s="15" t="n">
        <v>10</v>
      </c>
      <c r="V5792" s="15">
        <f>ROUNDUP((T5792+U5792+2*'Read Me'!$B$13)*(1+'Read Me'!$B$12),-1)</f>
        <v/>
      </c>
      <c r="W5792" s="15">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K-C-0037</t>
        </is>
      </c>
      <c r="B5793" s="12" t="inlineStr">
        <is>
          <t>K</t>
        </is>
      </c>
      <c r="C5793" s="12" t="inlineStr">
        <is>
          <t>Fuel supply (adjacent market)</t>
        </is>
      </c>
      <c r="D5793" s="12" t="inlineStr">
        <is>
          <t>Home run JB-H2 21: rectifier t-SOL01 to the control / marshalling room</t>
        </is>
      </c>
      <c r="E5793" s="12" t="inlineStr"/>
      <c r="F5793" s="12" t="inlineStr">
        <is>
          <t>H2 20: 13.8 kV e-house</t>
        </is>
      </c>
      <c r="G5793" s="12" t="inlineStr">
        <is>
          <t>JB-H2 21: rectifier t-SOL01</t>
        </is>
      </c>
      <c r="H5793" s="12" t="inlineStr">
        <is>
          <t>H2 21: rectifier transformer 5 (7 MVA)</t>
        </is>
      </c>
      <c r="I5793" s="12" t="inlineStr">
        <is>
          <t>Control</t>
        </is>
      </c>
      <c r="J5793" s="12" t="inlineStr">
        <is>
          <t>ARMOR-X MC-HL 600 V control, Cu #14 AWG (Class I Div 2)</t>
        </is>
      </c>
      <c r="K5793" s="12" t="inlineStr">
        <is>
          <t>CTAX|25/C|14</t>
        </is>
      </c>
      <c r="L5793" s="12" t="inlineStr">
        <is>
          <t>25/C</t>
        </is>
      </c>
      <c r="M5793" s="12" t="inlineStr">
        <is>
          <t>14</t>
        </is>
      </c>
      <c r="N5793" s="12" t="n">
        <v>1</v>
      </c>
      <c r="O5793" s="12" t="n">
        <v>1</v>
      </c>
      <c r="P5793" s="12" t="n"/>
      <c r="Q5793" s="12" t="n"/>
      <c r="R5793" s="12" t="n"/>
      <c r="S5793" s="12" t="inlineStr">
        <is>
          <t>Duct bank</t>
        </is>
      </c>
      <c r="T5793" s="15" t="n">
        <v>254</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K-C-0038</t>
        </is>
      </c>
      <c r="B5794" s="12" t="inlineStr">
        <is>
          <t>K</t>
        </is>
      </c>
      <c r="C5794" s="12" t="inlineStr">
        <is>
          <t>Fuel supply (adjacent market)</t>
        </is>
      </c>
      <c r="D5794" s="12" t="inlineStr">
        <is>
          <t>Control</t>
        </is>
      </c>
      <c r="E5794" s="12" t="inlineStr"/>
      <c r="F5794" s="12" t="inlineStr">
        <is>
          <t>H2 20: 13.8 kV e-house</t>
        </is>
      </c>
      <c r="G5794" s="12" t="inlineStr"/>
      <c r="H5794" s="12" t="inlineStr">
        <is>
          <t>H2 21: rectifier transformer 5 (7 MVA)</t>
        </is>
      </c>
      <c r="I5794" s="12" t="inlineStr">
        <is>
          <t>Control</t>
        </is>
      </c>
      <c r="J5794" s="12" t="inlineStr">
        <is>
          <t>ARMOR-X MC-HL 600 V control, Cu #14 AWG (Class I Div 2)</t>
        </is>
      </c>
      <c r="K5794" s="12" t="inlineStr">
        <is>
          <t>CTAX|7/C|14</t>
        </is>
      </c>
      <c r="L5794" s="12" t="inlineStr">
        <is>
          <t>7/C</t>
        </is>
      </c>
      <c r="M5794" s="12" t="inlineStr">
        <is>
          <t>14</t>
        </is>
      </c>
      <c r="N5794" s="12" t="n">
        <v>1</v>
      </c>
      <c r="O5794" s="12" t="n">
        <v>1</v>
      </c>
      <c r="P5794" s="12" t="n"/>
      <c r="Q5794" s="12" t="n"/>
      <c r="R5794" s="12" t="n"/>
      <c r="S5794" s="12" t="inlineStr">
        <is>
          <t>Duct bank</t>
        </is>
      </c>
      <c r="T5794" s="15" t="n">
        <v>254</v>
      </c>
      <c r="U5794" s="15" t="n">
        <v>32</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K-C-0039</t>
        </is>
      </c>
      <c r="B5795" s="12" t="inlineStr">
        <is>
          <t>K</t>
        </is>
      </c>
      <c r="C5795" s="12" t="inlineStr">
        <is>
          <t>Fuel supply (adjacent market)</t>
        </is>
      </c>
      <c r="D5795" s="12" t="inlineStr">
        <is>
          <t>Control</t>
        </is>
      </c>
      <c r="E5795" s="12" t="inlineStr"/>
      <c r="F5795" s="12" t="inlineStr">
        <is>
          <t>H2 20: 13.8 kV e-house</t>
        </is>
      </c>
      <c r="G5795" s="12" t="inlineStr"/>
      <c r="H5795" s="12" t="inlineStr">
        <is>
          <t>H2 21: rectifier transformer 5 (7 MVA)</t>
        </is>
      </c>
      <c r="I5795" s="12" t="inlineStr">
        <is>
          <t>Control</t>
        </is>
      </c>
      <c r="J5795" s="12" t="inlineStr">
        <is>
          <t>ARMOR-X MC-HL 600 V control, Cu #14 AWG (Class I Div 2)</t>
        </is>
      </c>
      <c r="K5795" s="12" t="inlineStr">
        <is>
          <t>CTAX|12/C|14</t>
        </is>
      </c>
      <c r="L5795" s="12" t="inlineStr">
        <is>
          <t>12/C</t>
        </is>
      </c>
      <c r="M5795" s="12" t="inlineStr">
        <is>
          <t>14</t>
        </is>
      </c>
      <c r="N5795" s="12" t="n">
        <v>1</v>
      </c>
      <c r="O5795" s="12" t="n">
        <v>1</v>
      </c>
      <c r="P5795" s="12" t="n"/>
      <c r="Q5795" s="12" t="n"/>
      <c r="R5795" s="12" t="n"/>
      <c r="S5795" s="12" t="inlineStr">
        <is>
          <t>Duct bank</t>
        </is>
      </c>
      <c r="T5795" s="15" t="n">
        <v>254</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K-C-0040</t>
        </is>
      </c>
      <c r="B5796" s="12" t="inlineStr">
        <is>
          <t>K</t>
        </is>
      </c>
      <c r="C5796" s="12" t="inlineStr">
        <is>
          <t>Fuel supply (adjacent market)</t>
        </is>
      </c>
      <c r="D5796" s="12" t="inlineStr">
        <is>
          <t>CT / VT</t>
        </is>
      </c>
      <c r="E5796" s="12" t="inlineStr"/>
      <c r="F5796" s="12" t="inlineStr">
        <is>
          <t>H2 20: 13.8 kV e-house</t>
        </is>
      </c>
      <c r="G5796" s="12" t="inlineStr"/>
      <c r="H5796" s="12" t="inlineStr">
        <is>
          <t>H2 21: rectifier transformer 5 (7 MVA)</t>
        </is>
      </c>
      <c r="I5796" s="12" t="inlineStr">
        <is>
          <t>Control</t>
        </is>
      </c>
      <c r="J5796" s="12" t="inlineStr">
        <is>
          <t>Control cable 600 V Type TC-ER, Cu #10 AWG (CT / VT circuits)</t>
        </is>
      </c>
      <c r="K5796" s="12" t="inlineStr">
        <is>
          <t>CTCT|4/C|10</t>
        </is>
      </c>
      <c r="L5796" s="12" t="inlineStr">
        <is>
          <t>4/C</t>
        </is>
      </c>
      <c r="M5796" s="12" t="inlineStr">
        <is>
          <t>10</t>
        </is>
      </c>
      <c r="N5796" s="12" t="n">
        <v>1</v>
      </c>
      <c r="O5796" s="12" t="n">
        <v>1</v>
      </c>
      <c r="P5796" s="12" t="n"/>
      <c r="Q5796" s="12" t="n"/>
      <c r="R5796" s="12" t="n"/>
      <c r="S5796" s="12" t="inlineStr">
        <is>
          <t>Duct bank</t>
        </is>
      </c>
      <c r="T5796" s="15" t="n">
        <v>254</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K-C-0041</t>
        </is>
      </c>
      <c r="B5797" s="12" t="inlineStr">
        <is>
          <t>K</t>
        </is>
      </c>
      <c r="C5797" s="12" t="inlineStr">
        <is>
          <t>Fuel supply (adjacent market)</t>
        </is>
      </c>
      <c r="D5797" s="12" t="inlineStr">
        <is>
          <t>CT / VT</t>
        </is>
      </c>
      <c r="E5797" s="12" t="inlineStr"/>
      <c r="F5797" s="12" t="inlineStr">
        <is>
          <t>H2 20: 13.8 kV e-house</t>
        </is>
      </c>
      <c r="G5797" s="12" t="inlineStr"/>
      <c r="H5797" s="12" t="inlineStr">
        <is>
          <t>H2 21: rectifier transformer 5 (7 MVA)</t>
        </is>
      </c>
      <c r="I5797" s="12" t="inlineStr">
        <is>
          <t>Control</t>
        </is>
      </c>
      <c r="J5797" s="12" t="inlineStr">
        <is>
          <t>Control cable 600 V Type TC-ER, Cu #10 AWG (CT / VT circuits)</t>
        </is>
      </c>
      <c r="K5797" s="12" t="inlineStr">
        <is>
          <t>CTCT|4/C|10</t>
        </is>
      </c>
      <c r="L5797" s="12" t="inlineStr">
        <is>
          <t>4/C</t>
        </is>
      </c>
      <c r="M5797" s="12" t="inlineStr">
        <is>
          <t>10</t>
        </is>
      </c>
      <c r="N5797" s="12" t="n">
        <v>1</v>
      </c>
      <c r="O5797" s="12" t="n">
        <v>1</v>
      </c>
      <c r="P5797" s="12" t="n"/>
      <c r="Q5797" s="12" t="n"/>
      <c r="R5797" s="12" t="n"/>
      <c r="S5797" s="12" t="inlineStr">
        <is>
          <t>Duct bank</t>
        </is>
      </c>
      <c r="T5797" s="15" t="n">
        <v>254</v>
      </c>
      <c r="U5797" s="15" t="n">
        <v>32</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K-C-0042</t>
        </is>
      </c>
      <c r="B5798" s="12" t="inlineStr">
        <is>
          <t>K</t>
        </is>
      </c>
      <c r="C5798" s="12" t="inlineStr">
        <is>
          <t>Fuel supply (adjacent market)</t>
        </is>
      </c>
      <c r="D5798" s="12" t="inlineStr">
        <is>
          <t>Motor 1 of 1: control / local station</t>
        </is>
      </c>
      <c r="E5798" s="12" t="inlineStr"/>
      <c r="F5798" s="12" t="inlineStr">
        <is>
          <t>H2 20: 13.8 kV e-house</t>
        </is>
      </c>
      <c r="G5798" s="12" t="inlineStr">
        <is>
          <t>H2-EL</t>
        </is>
      </c>
      <c r="H5798" s="12" t="inlineStr">
        <is>
          <t>H2 22: electrolyzer building (5 x 5 MW PEM + 5 rectifiers)</t>
        </is>
      </c>
      <c r="I5798" s="12" t="inlineStr">
        <is>
          <t>Control</t>
        </is>
      </c>
      <c r="J5798" s="12" t="inlineStr">
        <is>
          <t>ARMOR-X MC-HL 600 V control, Cu #14 AWG (Class I Div 2)</t>
        </is>
      </c>
      <c r="K5798" s="12" t="inlineStr">
        <is>
          <t>CTAX|7/C|14</t>
        </is>
      </c>
      <c r="L5798" s="12" t="inlineStr">
        <is>
          <t>7/C</t>
        </is>
      </c>
      <c r="M5798" s="12" t="inlineStr">
        <is>
          <t>14</t>
        </is>
      </c>
      <c r="N5798" s="12" t="n">
        <v>1</v>
      </c>
      <c r="O5798" s="12" t="n">
        <v>1</v>
      </c>
      <c r="P5798" s="12" t="n"/>
      <c r="Q5798" s="12" t="n"/>
      <c r="R5798" s="12" t="n"/>
      <c r="S5798" s="12" t="inlineStr">
        <is>
          <t>Duct bank</t>
        </is>
      </c>
      <c r="T5798" s="15" t="n">
        <v>346</v>
      </c>
      <c r="U5798" s="15" t="n">
        <v>32</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K-C-0043</t>
        </is>
      </c>
      <c r="B5799" s="12" t="inlineStr">
        <is>
          <t>K</t>
        </is>
      </c>
      <c r="C5799" s="12" t="inlineStr">
        <is>
          <t>Fuel supply (adjacent market)</t>
        </is>
      </c>
      <c r="D5799" s="12" t="inlineStr">
        <is>
          <t>Solenoid to JB JB-H2-EL-SOL01: 2 x 2/C (field cables)</t>
        </is>
      </c>
      <c r="E5799" s="12" t="inlineStr">
        <is>
          <t>H2-EL</t>
        </is>
      </c>
      <c r="F5799" s="12" t="inlineStr">
        <is>
          <t>H2 22: electrolyzer building (5 x 5 MW PEM + 5 rectifiers)</t>
        </is>
      </c>
      <c r="G5799" s="12" t="inlineStr">
        <is>
          <t>JB-H2-EL-SOL01</t>
        </is>
      </c>
      <c r="H5799" s="12" t="inlineStr">
        <is>
          <t>H2 22: electrolyzer building (5 x 5 MW PEM + 5 rectifiers)</t>
        </is>
      </c>
      <c r="I5799" s="12" t="inlineStr">
        <is>
          <t>Control</t>
        </is>
      </c>
      <c r="J5799" s="12" t="inlineStr">
        <is>
          <t>ARMOR-X MC-HL 600 V control, Cu #14 AWG (Class I Div 2)</t>
        </is>
      </c>
      <c r="K5799" s="12" t="inlineStr">
        <is>
          <t>CTAX|2/C|14</t>
        </is>
      </c>
      <c r="L5799" s="12" t="inlineStr">
        <is>
          <t>2/C</t>
        </is>
      </c>
      <c r="M5799" s="12" t="inlineStr">
        <is>
          <t>14</t>
        </is>
      </c>
      <c r="N5799" s="12" t="n">
        <v>2</v>
      </c>
      <c r="O5799" s="12" t="n">
        <v>1</v>
      </c>
      <c r="P5799" s="12" t="n"/>
      <c r="Q5799" s="12" t="n"/>
      <c r="R5799" s="12" t="n"/>
      <c r="S5799" s="12" t="inlineStr">
        <is>
          <t>Tray / conduit</t>
        </is>
      </c>
      <c r="T5799" s="15" t="n">
        <v>157</v>
      </c>
      <c r="U5799" s="15" t="n">
        <v>10</v>
      </c>
      <c r="V5799" s="15">
        <f>ROUNDUP((T5799+U5799+2*'Read Me'!$B$13)*(1+'Read Me'!$B$12),-1)</f>
        <v/>
      </c>
      <c r="W5799" s="15">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K-C-0044</t>
        </is>
      </c>
      <c r="B5800" s="12" t="inlineStr">
        <is>
          <t>K</t>
        </is>
      </c>
      <c r="C5800" s="12" t="inlineStr">
        <is>
          <t>Fuel supply (adjacent market)</t>
        </is>
      </c>
      <c r="D5800" s="12" t="inlineStr">
        <is>
          <t>Home run JB-H2-EL-SOL01 to the control / marshalling room</t>
        </is>
      </c>
      <c r="E5800" s="12" t="inlineStr"/>
      <c r="F5800" s="12" t="inlineStr">
        <is>
          <t>H2 20: 13.8 kV e-house</t>
        </is>
      </c>
      <c r="G5800" s="12" t="inlineStr">
        <is>
          <t>JB-H2-EL-SOL01</t>
        </is>
      </c>
      <c r="H5800" s="12" t="inlineStr">
        <is>
          <t>H2 22: electrolyzer building (5 x 5 MW PEM + 5 rectifiers)</t>
        </is>
      </c>
      <c r="I5800" s="12" t="inlineStr">
        <is>
          <t>Control</t>
        </is>
      </c>
      <c r="J5800" s="12" t="inlineStr">
        <is>
          <t>ARMOR-X MC-HL 600 V control, Cu #14 AWG (Class I Div 2)</t>
        </is>
      </c>
      <c r="K5800" s="12" t="inlineStr">
        <is>
          <t>CTAX|25/C|14</t>
        </is>
      </c>
      <c r="L5800" s="12" t="inlineStr">
        <is>
          <t>25/C</t>
        </is>
      </c>
      <c r="M5800" s="12" t="inlineStr">
        <is>
          <t>14</t>
        </is>
      </c>
      <c r="N5800" s="12" t="n">
        <v>1</v>
      </c>
      <c r="O5800" s="12" t="n">
        <v>1</v>
      </c>
      <c r="P5800" s="12" t="n"/>
      <c r="Q5800" s="12" t="n"/>
      <c r="R5800" s="12" t="n"/>
      <c r="S5800" s="12" t="inlineStr">
        <is>
          <t>Duct bank</t>
        </is>
      </c>
      <c r="T5800" s="15" t="n">
        <v>346</v>
      </c>
      <c r="U5800" s="15" t="n">
        <v>32</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K-C-0045</t>
        </is>
      </c>
      <c r="B5801" s="12" t="inlineStr">
        <is>
          <t>K</t>
        </is>
      </c>
      <c r="C5801" s="12" t="inlineStr">
        <is>
          <t>Fuel supply (adjacent market)</t>
        </is>
      </c>
      <c r="D5801" s="12" t="inlineStr">
        <is>
          <t>Motor 1 of 1: control / local station</t>
        </is>
      </c>
      <c r="E5801" s="12" t="inlineStr"/>
      <c r="F5801" s="12" t="inlineStr">
        <is>
          <t>H2 20: 13.8 kV e-house</t>
        </is>
      </c>
      <c r="G5801" s="12" t="inlineStr"/>
      <c r="H5801" s="12" t="inlineStr">
        <is>
          <t>H2 23: dry coolers</t>
        </is>
      </c>
      <c r="I5801" s="12" t="inlineStr">
        <is>
          <t>Control</t>
        </is>
      </c>
      <c r="J5801" s="12" t="inlineStr">
        <is>
          <t>ARMOR-X MC-HL 600 V control, Cu #14 AWG (Class I Div 2)</t>
        </is>
      </c>
      <c r="K5801" s="12" t="inlineStr">
        <is>
          <t>CTAX|7/C|14</t>
        </is>
      </c>
      <c r="L5801" s="12" t="inlineStr">
        <is>
          <t>7/C</t>
        </is>
      </c>
      <c r="M5801" s="12" t="inlineStr">
        <is>
          <t>14</t>
        </is>
      </c>
      <c r="N5801" s="12" t="n">
        <v>1</v>
      </c>
      <c r="O5801" s="12" t="n">
        <v>1</v>
      </c>
      <c r="P5801" s="12" t="n"/>
      <c r="Q5801" s="12" t="n"/>
      <c r="R5801" s="12" t="n"/>
      <c r="S5801" s="12" t="inlineStr">
        <is>
          <t>Duct bank</t>
        </is>
      </c>
      <c r="T5801" s="15" t="n">
        <v>100</v>
      </c>
      <c r="U5801" s="15" t="n">
        <v>32</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K-C-0046</t>
        </is>
      </c>
      <c r="B5802" s="12" t="inlineStr">
        <is>
          <t>K</t>
        </is>
      </c>
      <c r="C5802" s="12" t="inlineStr">
        <is>
          <t>Fuel supply (adjacent market)</t>
        </is>
      </c>
      <c r="D5802" s="12" t="inlineStr">
        <is>
          <t>Solenoid to JB JB-H2 23: dry coolers-SOL01: 2 x 2/C (field cables)</t>
        </is>
      </c>
      <c r="E5802" s="12" t="inlineStr"/>
      <c r="F5802" s="12" t="inlineStr">
        <is>
          <t>H2 23: dry coolers</t>
        </is>
      </c>
      <c r="G5802" s="12" t="inlineStr">
        <is>
          <t>JB-H2 23: dry coolers-SOL01</t>
        </is>
      </c>
      <c r="H5802" s="12" t="inlineStr">
        <is>
          <t>H2 23: dry coolers</t>
        </is>
      </c>
      <c r="I5802" s="12" t="inlineStr">
        <is>
          <t>Control</t>
        </is>
      </c>
      <c r="J5802" s="12" t="inlineStr">
        <is>
          <t>ARMOR-X MC-HL 600 V control, Cu #14 AWG (Class I Div 2)</t>
        </is>
      </c>
      <c r="K5802" s="12" t="inlineStr">
        <is>
          <t>CTAX|2/C|14</t>
        </is>
      </c>
      <c r="L5802" s="12" t="inlineStr">
        <is>
          <t>2/C</t>
        </is>
      </c>
      <c r="M5802" s="12" t="inlineStr">
        <is>
          <t>14</t>
        </is>
      </c>
      <c r="N5802" s="12" t="n">
        <v>2</v>
      </c>
      <c r="O5802" s="12" t="n">
        <v>1</v>
      </c>
      <c r="P5802" s="12" t="n"/>
      <c r="Q5802" s="12" t="n"/>
      <c r="R5802" s="12" t="n"/>
      <c r="S5802" s="12" t="inlineStr">
        <is>
          <t>Tray / conduit</t>
        </is>
      </c>
      <c r="T5802" s="15" t="n">
        <v>111</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K-C-0047</t>
        </is>
      </c>
      <c r="B5803" s="12" t="inlineStr">
        <is>
          <t>K</t>
        </is>
      </c>
      <c r="C5803" s="12" t="inlineStr">
        <is>
          <t>Fuel supply (adjacent market)</t>
        </is>
      </c>
      <c r="D5803" s="12" t="inlineStr">
        <is>
          <t>Home run JB-H2 23: dry coolers-SOL01 to the control / marshalling room</t>
        </is>
      </c>
      <c r="E5803" s="12" t="inlineStr"/>
      <c r="F5803" s="12" t="inlineStr">
        <is>
          <t>H2 20: 13.8 kV e-house</t>
        </is>
      </c>
      <c r="G5803" s="12" t="inlineStr">
        <is>
          <t>JB-H2 23: dry coolers-SOL01</t>
        </is>
      </c>
      <c r="H5803" s="12" t="inlineStr">
        <is>
          <t>H2 23: dry coolers</t>
        </is>
      </c>
      <c r="I5803" s="12" t="inlineStr">
        <is>
          <t>Control</t>
        </is>
      </c>
      <c r="J5803" s="12" t="inlineStr">
        <is>
          <t>ARMOR-X MC-HL 600 V control, Cu #14 AWG (Class I Div 2)</t>
        </is>
      </c>
      <c r="K5803" s="12" t="inlineStr">
        <is>
          <t>CTAX|25/C|14</t>
        </is>
      </c>
      <c r="L5803" s="12" t="inlineStr">
        <is>
          <t>25/C</t>
        </is>
      </c>
      <c r="M5803" s="12" t="inlineStr">
        <is>
          <t>14</t>
        </is>
      </c>
      <c r="N5803" s="12" t="n">
        <v>1</v>
      </c>
      <c r="O5803" s="12" t="n">
        <v>1</v>
      </c>
      <c r="P5803" s="12" t="n"/>
      <c r="Q5803" s="12" t="n"/>
      <c r="R5803" s="12" t="n"/>
      <c r="S5803" s="12" t="inlineStr">
        <is>
          <t>Duct bank</t>
        </is>
      </c>
      <c r="T5803" s="15" t="n">
        <v>100</v>
      </c>
      <c r="U5803" s="15" t="n">
        <v>32</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K-C-0048</t>
        </is>
      </c>
      <c r="B5804" s="12" t="inlineStr">
        <is>
          <t>K</t>
        </is>
      </c>
      <c r="C5804" s="12" t="inlineStr">
        <is>
          <t>Fuel supply (adjacent market)</t>
        </is>
      </c>
      <c r="D5804" s="12" t="inlineStr">
        <is>
          <t>Motor 1 of 1: control / local station</t>
        </is>
      </c>
      <c r="E5804" s="12" t="inlineStr"/>
      <c r="F5804" s="12" t="inlineStr">
        <is>
          <t>H2 20: 13.8 kV e-house</t>
        </is>
      </c>
      <c r="G5804" s="12" t="inlineStr"/>
      <c r="H5804" s="12" t="inlineStr">
        <is>
          <t>H2 24: water purification (RO / EDI)</t>
        </is>
      </c>
      <c r="I5804" s="12" t="inlineStr">
        <is>
          <t>Control</t>
        </is>
      </c>
      <c r="J5804" s="12" t="inlineStr">
        <is>
          <t>ARMOR-X MC-HL 600 V control, Cu #14 AWG (Class I Div 2)</t>
        </is>
      </c>
      <c r="K5804" s="12" t="inlineStr">
        <is>
          <t>CTAX|7/C|14</t>
        </is>
      </c>
      <c r="L5804" s="12" t="inlineStr">
        <is>
          <t>7/C</t>
        </is>
      </c>
      <c r="M5804" s="12" t="inlineStr">
        <is>
          <t>14</t>
        </is>
      </c>
      <c r="N5804" s="12" t="n">
        <v>1</v>
      </c>
      <c r="O5804" s="12" t="n">
        <v>1</v>
      </c>
      <c r="P5804" s="12" t="n"/>
      <c r="Q5804" s="12" t="n"/>
      <c r="R5804" s="12" t="n"/>
      <c r="S5804" s="12" t="inlineStr">
        <is>
          <t>Duct bank</t>
        </is>
      </c>
      <c r="T5804" s="15" t="n">
        <v>146</v>
      </c>
      <c r="U5804" s="15" t="n">
        <v>32</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K-C-0049</t>
        </is>
      </c>
      <c r="B5805" s="12" t="inlineStr">
        <is>
          <t>K</t>
        </is>
      </c>
      <c r="C5805" s="12" t="inlineStr">
        <is>
          <t>Fuel supply (adjacent market)</t>
        </is>
      </c>
      <c r="D5805" s="12" t="inlineStr">
        <is>
          <t>Solenoid to JB JB-H2 24: water purif-SOL01: 2 x 2/C (field cables)</t>
        </is>
      </c>
      <c r="E5805" s="12" t="inlineStr"/>
      <c r="F5805" s="12" t="inlineStr">
        <is>
          <t>H2 24: water purification (RO / EDI)</t>
        </is>
      </c>
      <c r="G5805" s="12" t="inlineStr">
        <is>
          <t>JB-H2 24: water purif-SOL01</t>
        </is>
      </c>
      <c r="H5805" s="12" t="inlineStr">
        <is>
          <t>H2 24: water purification (RO / EDI)</t>
        </is>
      </c>
      <c r="I5805" s="12" t="inlineStr">
        <is>
          <t>Control</t>
        </is>
      </c>
      <c r="J5805" s="12" t="inlineStr">
        <is>
          <t>ARMOR-X MC-HL 600 V control, Cu #14 AWG (Class I Div 2)</t>
        </is>
      </c>
      <c r="K5805" s="12" t="inlineStr">
        <is>
          <t>CTAX|2/C|14</t>
        </is>
      </c>
      <c r="L5805" s="12" t="inlineStr">
        <is>
          <t>2/C</t>
        </is>
      </c>
      <c r="M5805" s="12" t="inlineStr">
        <is>
          <t>14</t>
        </is>
      </c>
      <c r="N5805" s="12" t="n">
        <v>2</v>
      </c>
      <c r="O5805" s="12" t="n">
        <v>1</v>
      </c>
      <c r="P5805" s="12" t="n"/>
      <c r="Q5805" s="12" t="n"/>
      <c r="R5805" s="12" t="n"/>
      <c r="S5805" s="12" t="inlineStr">
        <is>
          <t>Tray / conduit</t>
        </is>
      </c>
      <c r="T5805" s="15" t="n">
        <v>60</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K-C-0050</t>
        </is>
      </c>
      <c r="B5806" s="12" t="inlineStr">
        <is>
          <t>K</t>
        </is>
      </c>
      <c r="C5806" s="12" t="inlineStr">
        <is>
          <t>Fuel supply (adjacent market)</t>
        </is>
      </c>
      <c r="D5806" s="12" t="inlineStr">
        <is>
          <t>Home run JB-H2 24: water purif-SOL01 to the control / marshalling room</t>
        </is>
      </c>
      <c r="E5806" s="12" t="inlineStr"/>
      <c r="F5806" s="12" t="inlineStr">
        <is>
          <t>H2 20: 13.8 kV e-house</t>
        </is>
      </c>
      <c r="G5806" s="12" t="inlineStr">
        <is>
          <t>JB-H2 24: water purif-SOL01</t>
        </is>
      </c>
      <c r="H5806" s="12" t="inlineStr">
        <is>
          <t>H2 24: water purification (RO / EDI)</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146</v>
      </c>
      <c r="U5806" s="15" t="n">
        <v>32</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K-C-0051</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25: H2 dryer / purification</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0</v>
      </c>
      <c r="U5807" s="15" t="n">
        <v>49</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K-C-0052</t>
        </is>
      </c>
      <c r="B5808" s="12" t="inlineStr">
        <is>
          <t>K</t>
        </is>
      </c>
      <c r="C5808" s="12" t="inlineStr">
        <is>
          <t>Fuel supply (adjacent market)</t>
        </is>
      </c>
      <c r="D5808" s="12" t="inlineStr">
        <is>
          <t>Solenoid to JB JB-H2 25: H2 dryer / -SOL01: 2 x 2/C (field cables)</t>
        </is>
      </c>
      <c r="E5808" s="12" t="inlineStr"/>
      <c r="F5808" s="12" t="inlineStr">
        <is>
          <t>H2 25: H2 dryer / purification</t>
        </is>
      </c>
      <c r="G5808" s="12" t="inlineStr">
        <is>
          <t>JB-H2 25: H2 dryer / -SOL01</t>
        </is>
      </c>
      <c r="H5808" s="12" t="inlineStr">
        <is>
          <t>H2 25: H2 dryer / purification</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5" t="n">
        <v>60</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K-C-0053</t>
        </is>
      </c>
      <c r="B5809" s="12" t="inlineStr">
        <is>
          <t>K</t>
        </is>
      </c>
      <c r="C5809" s="12" t="inlineStr">
        <is>
          <t>Fuel supply (adjacent market)</t>
        </is>
      </c>
      <c r="D5809" s="12" t="inlineStr">
        <is>
          <t>Home run JB-H2 25: H2 dryer / -SOL01 to the control / marshalling room</t>
        </is>
      </c>
      <c r="E5809" s="12" t="inlineStr"/>
      <c r="F5809" s="12" t="inlineStr">
        <is>
          <t>H2 20: 13.8 kV e-house</t>
        </is>
      </c>
      <c r="G5809" s="12" t="inlineStr">
        <is>
          <t>JB-H2 25: H2 dryer / -SOL01</t>
        </is>
      </c>
      <c r="H5809" s="12" t="inlineStr">
        <is>
          <t>H2 25: H2 dryer / purification</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5" t="n">
        <v>0</v>
      </c>
      <c r="U5809" s="15" t="n">
        <v>49</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K-C-0054</t>
        </is>
      </c>
      <c r="B5810" s="12" t="inlineStr">
        <is>
          <t>K</t>
        </is>
      </c>
      <c r="C5810" s="12" t="inlineStr">
        <is>
          <t>Fuel supply (adjacent market)</t>
        </is>
      </c>
      <c r="D5810" s="12" t="inlineStr">
        <is>
          <t>Motor 1 of 1: control / local station</t>
        </is>
      </c>
      <c r="E5810" s="12" t="inlineStr"/>
      <c r="F5810" s="12" t="inlineStr">
        <is>
          <t>H2 20: 13.8 kV e-house</t>
        </is>
      </c>
      <c r="G5810" s="12" t="inlineStr"/>
      <c r="H5810" s="12" t="inlineStr">
        <is>
          <t>H2 26: H2 compressor 1 (40 ft ISO)</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5" t="n">
        <v>50</v>
      </c>
      <c r="U5810" s="15" t="n">
        <v>32</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K-C-0055</t>
        </is>
      </c>
      <c r="B5811" s="12" t="inlineStr">
        <is>
          <t>K</t>
        </is>
      </c>
      <c r="C5811" s="12" t="inlineStr">
        <is>
          <t>Fuel supply (adjacent market)</t>
        </is>
      </c>
      <c r="D5811" s="12" t="inlineStr">
        <is>
          <t>Solenoid to JB JB-H2 26: H2 compress-SOL01: 2 x 2/C (field cables)</t>
        </is>
      </c>
      <c r="E5811" s="12" t="inlineStr"/>
      <c r="F5811" s="12" t="inlineStr">
        <is>
          <t>H2 26: H2 compressor 1 (40 ft ISO)</t>
        </is>
      </c>
      <c r="G5811" s="12" t="inlineStr">
        <is>
          <t>JB-H2 26: H2 compress-SOL01</t>
        </is>
      </c>
      <c r="H5811" s="12" t="inlineStr">
        <is>
          <t>H2 26: H2 compressor 1 (40 ft ISO)</t>
        </is>
      </c>
      <c r="I5811" s="12" t="inlineStr">
        <is>
          <t>Control</t>
        </is>
      </c>
      <c r="J5811" s="12" t="inlineStr">
        <is>
          <t>ARMOR-X MC-HL 600 V control, Cu #14 AWG (Class I Div 2)</t>
        </is>
      </c>
      <c r="K5811" s="12" t="inlineStr">
        <is>
          <t>CTAX|2/C|14</t>
        </is>
      </c>
      <c r="L5811" s="12" t="inlineStr">
        <is>
          <t>2/C</t>
        </is>
      </c>
      <c r="M5811" s="12" t="inlineStr">
        <is>
          <t>14</t>
        </is>
      </c>
      <c r="N5811" s="12" t="n">
        <v>2</v>
      </c>
      <c r="O5811" s="12" t="n">
        <v>1</v>
      </c>
      <c r="P5811" s="12" t="n"/>
      <c r="Q5811" s="12" t="n"/>
      <c r="R5811" s="12" t="n"/>
      <c r="S5811" s="12" t="inlineStr">
        <is>
          <t>Tray / conduit</t>
        </is>
      </c>
      <c r="T5811" s="15" t="n">
        <v>53</v>
      </c>
      <c r="U5811" s="15" t="n">
        <v>10</v>
      </c>
      <c r="V5811" s="15">
        <f>ROUNDUP((T5811+U5811+2*'Read Me'!$B$13)*(1+'Read Me'!$B$12),-1)</f>
        <v/>
      </c>
      <c r="W5811" s="15">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K-C-0056</t>
        </is>
      </c>
      <c r="B5812" s="12" t="inlineStr">
        <is>
          <t>K</t>
        </is>
      </c>
      <c r="C5812" s="12" t="inlineStr">
        <is>
          <t>Fuel supply (adjacent market)</t>
        </is>
      </c>
      <c r="D5812" s="12" t="inlineStr">
        <is>
          <t>Home run JB-H2 26: H2 compress-SOL01 to the control / marshalling room</t>
        </is>
      </c>
      <c r="E5812" s="12" t="inlineStr"/>
      <c r="F5812" s="12" t="inlineStr">
        <is>
          <t>H2 20: 13.8 kV e-house</t>
        </is>
      </c>
      <c r="G5812" s="12" t="inlineStr">
        <is>
          <t>JB-H2 26: H2 compress-SOL01</t>
        </is>
      </c>
      <c r="H5812" s="12" t="inlineStr">
        <is>
          <t>H2 26: H2 compressor 1 (40 ft ISO)</t>
        </is>
      </c>
      <c r="I5812" s="12" t="inlineStr">
        <is>
          <t>Control</t>
        </is>
      </c>
      <c r="J5812" s="12" t="inlineStr">
        <is>
          <t>ARMOR-X MC-HL 600 V control, Cu #14 AWG (Class I Div 2)</t>
        </is>
      </c>
      <c r="K5812" s="12" t="inlineStr">
        <is>
          <t>CTAX|25/C|14</t>
        </is>
      </c>
      <c r="L5812" s="12" t="inlineStr">
        <is>
          <t>25/C</t>
        </is>
      </c>
      <c r="M5812" s="12" t="inlineStr">
        <is>
          <t>14</t>
        </is>
      </c>
      <c r="N5812" s="12" t="n">
        <v>1</v>
      </c>
      <c r="O5812" s="12" t="n">
        <v>1</v>
      </c>
      <c r="P5812" s="12" t="n"/>
      <c r="Q5812" s="12" t="n"/>
      <c r="R5812" s="12" t="n"/>
      <c r="S5812" s="12" t="inlineStr">
        <is>
          <t>Duct bank</t>
        </is>
      </c>
      <c r="T5812" s="15" t="n">
        <v>50</v>
      </c>
      <c r="U5812" s="15" t="n">
        <v>32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K-C-0057</t>
        </is>
      </c>
      <c r="B5813" s="12" t="inlineStr">
        <is>
          <t>K</t>
        </is>
      </c>
      <c r="C5813" s="12" t="inlineStr">
        <is>
          <t>Fuel supply (adjacent market)</t>
        </is>
      </c>
      <c r="D5813" s="12" t="inlineStr">
        <is>
          <t>Motor 1 of 1: control / local station</t>
        </is>
      </c>
      <c r="E5813" s="12" t="inlineStr"/>
      <c r="F5813" s="12" t="inlineStr">
        <is>
          <t>H2 20: 13.8 kV e-house</t>
        </is>
      </c>
      <c r="G5813" s="12" t="inlineStr"/>
      <c r="H5813" s="12" t="inlineStr">
        <is>
          <t>H2 26: H2 compressor 2 (40 ft ISO)</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47</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K-C-0058</t>
        </is>
      </c>
      <c r="B5814" s="12" t="inlineStr">
        <is>
          <t>K</t>
        </is>
      </c>
      <c r="C5814" s="12" t="inlineStr">
        <is>
          <t>Fuel supply (adjacent market)</t>
        </is>
      </c>
      <c r="D5814" s="12" t="inlineStr">
        <is>
          <t>Solenoid to JB JB-H2 26: H2 compress-SOL01: 2 x 2/C (field cables)</t>
        </is>
      </c>
      <c r="E5814" s="12" t="inlineStr"/>
      <c r="F5814" s="12" t="inlineStr">
        <is>
          <t>H2 26: H2 compressor 2 (40 ft ISO)</t>
        </is>
      </c>
      <c r="G5814" s="12" t="inlineStr">
        <is>
          <t>JB-H2 26: H2 compress-SOL01</t>
        </is>
      </c>
      <c r="H5814" s="12" t="inlineStr">
        <is>
          <t>H2 26: H2 compressor 2 (40 ft ISO)</t>
        </is>
      </c>
      <c r="I5814" s="12" t="inlineStr">
        <is>
          <t>Control</t>
        </is>
      </c>
      <c r="J5814" s="12" t="inlineStr">
        <is>
          <t>ARMOR-X MC-HL 600 V control, Cu #14 AWG (Class I Div 2)</t>
        </is>
      </c>
      <c r="K5814" s="12" t="inlineStr">
        <is>
          <t>CTAX|2/C|14</t>
        </is>
      </c>
      <c r="L5814" s="12" t="inlineStr">
        <is>
          <t>2/C</t>
        </is>
      </c>
      <c r="M5814" s="12" t="inlineStr">
        <is>
          <t>14</t>
        </is>
      </c>
      <c r="N5814" s="12" t="n">
        <v>2</v>
      </c>
      <c r="O5814" s="12" t="n">
        <v>1</v>
      </c>
      <c r="P5814" s="12" t="n"/>
      <c r="Q5814" s="12" t="n"/>
      <c r="R5814" s="12" t="n"/>
      <c r="S5814" s="12" t="inlineStr">
        <is>
          <t>Tray / conduit</t>
        </is>
      </c>
      <c r="T5814" s="15" t="n">
        <v>53</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K-C-0059</t>
        </is>
      </c>
      <c r="B5815" s="12" t="inlineStr">
        <is>
          <t>K</t>
        </is>
      </c>
      <c r="C5815" s="12" t="inlineStr">
        <is>
          <t>Fuel supply (adjacent market)</t>
        </is>
      </c>
      <c r="D5815" s="12" t="inlineStr">
        <is>
          <t>Home run JB-H2 26: H2 compress-SOL01 to the control / marshalling room</t>
        </is>
      </c>
      <c r="E5815" s="12" t="inlineStr"/>
      <c r="F5815" s="12" t="inlineStr">
        <is>
          <t>H2 20: 13.8 kV e-house</t>
        </is>
      </c>
      <c r="G5815" s="12" t="inlineStr">
        <is>
          <t>JB-H2 26: H2 compress-SOL01</t>
        </is>
      </c>
      <c r="H5815" s="12" t="inlineStr">
        <is>
          <t>H2 26: H2 compressor 2 (40 ft ISO)</t>
        </is>
      </c>
      <c r="I5815" s="12" t="inlineStr">
        <is>
          <t>Control</t>
        </is>
      </c>
      <c r="J5815" s="12" t="inlineStr">
        <is>
          <t>ARMOR-X MC-HL 600 V control, Cu #14 AWG (Class I Div 2)</t>
        </is>
      </c>
      <c r="K5815" s="12" t="inlineStr">
        <is>
          <t>CTAX|25/C|14</t>
        </is>
      </c>
      <c r="L5815" s="12" t="inlineStr">
        <is>
          <t>25/C</t>
        </is>
      </c>
      <c r="M5815" s="12" t="inlineStr">
        <is>
          <t>14</t>
        </is>
      </c>
      <c r="N5815" s="12" t="n">
        <v>1</v>
      </c>
      <c r="O5815" s="12" t="n">
        <v>1</v>
      </c>
      <c r="P5815" s="12" t="n"/>
      <c r="Q5815" s="12" t="n"/>
      <c r="R5815" s="12" t="n"/>
      <c r="S5815" s="12" t="inlineStr">
        <is>
          <t>Duct bank</t>
        </is>
      </c>
      <c r="T5815" s="15" t="n">
        <v>50</v>
      </c>
      <c r="U5815" s="15" t="n">
        <v>47</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K-C-0060</t>
        </is>
      </c>
      <c r="B5816" s="12" t="inlineStr">
        <is>
          <t>K</t>
        </is>
      </c>
      <c r="C5816" s="12" t="inlineStr">
        <is>
          <t>Fuel supply (adjacent market)</t>
        </is>
      </c>
      <c r="D5816" s="12" t="inlineStr">
        <is>
          <t>Motor 1 of 1: control / local station</t>
        </is>
      </c>
      <c r="E5816" s="12" t="inlineStr"/>
      <c r="F5816" s="12" t="inlineStr">
        <is>
          <t>H2 20: 13.8 kV e-house</t>
        </is>
      </c>
      <c r="G5816" s="12" t="inlineStr"/>
      <c r="H5816" s="12" t="inlineStr">
        <is>
          <t>H2 27: storage tube bank (~40 ft tubes)</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50</v>
      </c>
      <c r="U5816" s="15" t="n">
        <v>97</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K-C-0061</t>
        </is>
      </c>
      <c r="B5817" s="12" t="inlineStr">
        <is>
          <t>K</t>
        </is>
      </c>
      <c r="C5817" s="12" t="inlineStr">
        <is>
          <t>Fuel supply (adjacent market)</t>
        </is>
      </c>
      <c r="D5817" s="12" t="inlineStr">
        <is>
          <t>Solenoid to JB JB-H2 27: storage tub-SOL01: 2 x 2/C (field cables)</t>
        </is>
      </c>
      <c r="E5817" s="12" t="inlineStr"/>
      <c r="F5817" s="12" t="inlineStr">
        <is>
          <t>H2 27: storage tube bank (~40 ft tubes)</t>
        </is>
      </c>
      <c r="G5817" s="12" t="inlineStr">
        <is>
          <t>JB-H2 27: storage tub-SOL01</t>
        </is>
      </c>
      <c r="H5817" s="12" t="inlineStr">
        <is>
          <t>H2 27: storage tube bank (~40 ft tubes)</t>
        </is>
      </c>
      <c r="I5817" s="12" t="inlineStr">
        <is>
          <t>Control</t>
        </is>
      </c>
      <c r="J5817" s="12" t="inlineStr">
        <is>
          <t>ARMOR-X MC-HL 600 V control, Cu #14 AWG (Class I Div 2)</t>
        </is>
      </c>
      <c r="K5817" s="12" t="inlineStr">
        <is>
          <t>CTAX|2/C|14</t>
        </is>
      </c>
      <c r="L5817" s="12" t="inlineStr">
        <is>
          <t>2/C</t>
        </is>
      </c>
      <c r="M5817" s="12" t="inlineStr">
        <is>
          <t>14</t>
        </is>
      </c>
      <c r="N5817" s="12" t="n">
        <v>2</v>
      </c>
      <c r="O5817" s="12" t="n">
        <v>1</v>
      </c>
      <c r="P5817" s="12" t="n"/>
      <c r="Q5817" s="12" t="n"/>
      <c r="R5817" s="12" t="n"/>
      <c r="S5817" s="12" t="inlineStr">
        <is>
          <t>Tray / conduit</t>
        </is>
      </c>
      <c r="T5817" s="15" t="n">
        <v>54</v>
      </c>
      <c r="U5817" s="15" t="n">
        <v>10</v>
      </c>
      <c r="V5817" s="15">
        <f>ROUNDUP((T5817+U5817+2*'Read Me'!$B$13)*(1+'Read Me'!$B$12),-1)</f>
        <v/>
      </c>
      <c r="W5817" s="15">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K-C-0062</t>
        </is>
      </c>
      <c r="B5818" s="12" t="inlineStr">
        <is>
          <t>K</t>
        </is>
      </c>
      <c r="C5818" s="12" t="inlineStr">
        <is>
          <t>Fuel supply (adjacent market)</t>
        </is>
      </c>
      <c r="D5818" s="12" t="inlineStr">
        <is>
          <t>Home run JB-H2 27: storage tub-SOL01 to the control / marshalling room</t>
        </is>
      </c>
      <c r="E5818" s="12" t="inlineStr"/>
      <c r="F5818" s="12" t="inlineStr">
        <is>
          <t>H2 20: 13.8 kV e-house</t>
        </is>
      </c>
      <c r="G5818" s="12" t="inlineStr">
        <is>
          <t>JB-H2 27: storage tub-SOL01</t>
        </is>
      </c>
      <c r="H5818" s="12" t="inlineStr">
        <is>
          <t>H2 27: storage tube bank (~40 ft tubes)</t>
        </is>
      </c>
      <c r="I5818" s="12" t="inlineStr">
        <is>
          <t>Control</t>
        </is>
      </c>
      <c r="J5818" s="12" t="inlineStr">
        <is>
          <t>ARMOR-X MC-HL 600 V control, Cu #14 AWG (Class I Div 2)</t>
        </is>
      </c>
      <c r="K5818" s="12" t="inlineStr">
        <is>
          <t>CTAX|25/C|14</t>
        </is>
      </c>
      <c r="L5818" s="12" t="inlineStr">
        <is>
          <t>25/C</t>
        </is>
      </c>
      <c r="M5818" s="12" t="inlineStr">
        <is>
          <t>14</t>
        </is>
      </c>
      <c r="N5818" s="12" t="n">
        <v>1</v>
      </c>
      <c r="O5818" s="12" t="n">
        <v>1</v>
      </c>
      <c r="P5818" s="12" t="n"/>
      <c r="Q5818" s="12" t="n"/>
      <c r="R5818" s="12" t="n"/>
      <c r="S5818" s="12" t="inlineStr">
        <is>
          <t>Duct bank</t>
        </is>
      </c>
      <c r="T5818" s="15" t="n">
        <v>50</v>
      </c>
      <c r="U5818" s="15" t="n">
        <v>97</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K-C-0063</t>
        </is>
      </c>
      <c r="B5819" s="12" t="inlineStr">
        <is>
          <t>K</t>
        </is>
      </c>
      <c r="C5819" s="12" t="inlineStr">
        <is>
          <t>Fuel supply (adjacent market)</t>
        </is>
      </c>
      <c r="D5819" s="12" t="inlineStr">
        <is>
          <t>Motor 1 of 1: control / local station</t>
        </is>
      </c>
      <c r="E5819" s="12" t="inlineStr"/>
      <c r="F5819" s="12" t="inlineStr">
        <is>
          <t>H2 20: 13.8 kV e-house</t>
        </is>
      </c>
      <c r="G5819" s="12" t="inlineStr"/>
      <c r="H5819" s="12" t="inlineStr">
        <is>
          <t>H2 27: storage tube bank (~40 ft tubes)</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50</v>
      </c>
      <c r="U5819" s="15" t="n">
        <v>117</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K-C-0064</t>
        </is>
      </c>
      <c r="B5820" s="12" t="inlineStr">
        <is>
          <t>K</t>
        </is>
      </c>
      <c r="C5820" s="12" t="inlineStr">
        <is>
          <t>Fuel supply (adjacent market)</t>
        </is>
      </c>
      <c r="D5820" s="12" t="inlineStr">
        <is>
          <t>Solenoid to JB JB-H2 27: storage tub-SOL01: 2 x 2/C (field cables)</t>
        </is>
      </c>
      <c r="E5820" s="12" t="inlineStr"/>
      <c r="F5820" s="12" t="inlineStr">
        <is>
          <t>H2 27: storage tube bank (~40 ft tubes)</t>
        </is>
      </c>
      <c r="G5820" s="12" t="inlineStr">
        <is>
          <t>JB-H2 27: storage tub-SOL01</t>
        </is>
      </c>
      <c r="H5820" s="12" t="inlineStr">
        <is>
          <t>H2 27: storage tube bank (~40 ft tubes)</t>
        </is>
      </c>
      <c r="I5820" s="12" t="inlineStr">
        <is>
          <t>Control</t>
        </is>
      </c>
      <c r="J5820" s="12" t="inlineStr">
        <is>
          <t>ARMOR-X MC-HL 600 V control, Cu #14 AWG (Class I Div 2)</t>
        </is>
      </c>
      <c r="K5820" s="12" t="inlineStr">
        <is>
          <t>CTAX|2/C|14</t>
        </is>
      </c>
      <c r="L5820" s="12" t="inlineStr">
        <is>
          <t>2/C</t>
        </is>
      </c>
      <c r="M5820" s="12" t="inlineStr">
        <is>
          <t>14</t>
        </is>
      </c>
      <c r="N5820" s="12" t="n">
        <v>2</v>
      </c>
      <c r="O5820" s="12" t="n">
        <v>1</v>
      </c>
      <c r="P5820" s="12" t="n"/>
      <c r="Q5820" s="12" t="n"/>
      <c r="R5820" s="12" t="n"/>
      <c r="S5820" s="12" t="inlineStr">
        <is>
          <t>Tray / conduit</t>
        </is>
      </c>
      <c r="T5820" s="15" t="n">
        <v>54</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K-C-0065</t>
        </is>
      </c>
      <c r="B5821" s="12" t="inlineStr">
        <is>
          <t>K</t>
        </is>
      </c>
      <c r="C5821" s="12" t="inlineStr">
        <is>
          <t>Fuel supply (adjacent market)</t>
        </is>
      </c>
      <c r="D5821" s="12" t="inlineStr">
        <is>
          <t>Home run JB-H2 27: storage tub-SOL01 to the control / marshalling room</t>
        </is>
      </c>
      <c r="E5821" s="12" t="inlineStr"/>
      <c r="F5821" s="12" t="inlineStr">
        <is>
          <t>H2 20: 13.8 kV e-house</t>
        </is>
      </c>
      <c r="G5821" s="12" t="inlineStr">
        <is>
          <t>JB-H2 27: storage tub-SOL01</t>
        </is>
      </c>
      <c r="H5821" s="12" t="inlineStr">
        <is>
          <t>H2 27: storage tube bank (~40 ft tubes)</t>
        </is>
      </c>
      <c r="I5821" s="12" t="inlineStr">
        <is>
          <t>Control</t>
        </is>
      </c>
      <c r="J5821" s="12" t="inlineStr">
        <is>
          <t>ARMOR-X MC-HL 600 V control, Cu #14 AWG (Class I Div 2)</t>
        </is>
      </c>
      <c r="K5821" s="12" t="inlineStr">
        <is>
          <t>CTAX|25/C|14</t>
        </is>
      </c>
      <c r="L5821" s="12" t="inlineStr">
        <is>
          <t>25/C</t>
        </is>
      </c>
      <c r="M5821" s="12" t="inlineStr">
        <is>
          <t>14</t>
        </is>
      </c>
      <c r="N5821" s="12" t="n">
        <v>1</v>
      </c>
      <c r="O5821" s="12" t="n">
        <v>1</v>
      </c>
      <c r="P5821" s="12" t="n"/>
      <c r="Q5821" s="12" t="n"/>
      <c r="R5821" s="12" t="n"/>
      <c r="S5821" s="12" t="inlineStr">
        <is>
          <t>Duct bank</t>
        </is>
      </c>
      <c r="T5821" s="15" t="n">
        <v>50</v>
      </c>
      <c r="U5821" s="15" t="n">
        <v>117</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K-C-0066</t>
        </is>
      </c>
      <c r="B5822" s="12" t="inlineStr">
        <is>
          <t>K</t>
        </is>
      </c>
      <c r="C5822" s="12" t="inlineStr">
        <is>
          <t>Fuel supply (adjacent market)</t>
        </is>
      </c>
      <c r="D5822" s="12" t="inlineStr">
        <is>
          <t>Motor 1 of 1: control / local station</t>
        </is>
      </c>
      <c r="E5822" s="12" t="inlineStr"/>
      <c r="F5822" s="12" t="inlineStr">
        <is>
          <t>H2 20: 13.8 kV e-house</t>
        </is>
      </c>
      <c r="G5822" s="12" t="inlineStr"/>
      <c r="H5822" s="12" t="inlineStr">
        <is>
          <t>H2 27: storage tube bank (~40 ft tubes)</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97</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K-C-0067</t>
        </is>
      </c>
      <c r="B5823" s="12" t="inlineStr">
        <is>
          <t>K</t>
        </is>
      </c>
      <c r="C5823" s="12" t="inlineStr">
        <is>
          <t>Fuel supply (adjacent market)</t>
        </is>
      </c>
      <c r="D5823" s="12" t="inlineStr">
        <is>
          <t>Solenoid to JB JB-H2 27: storage tub-SOL01: 2 x 2/C (field cables)</t>
        </is>
      </c>
      <c r="E5823" s="12" t="inlineStr"/>
      <c r="F5823" s="12" t="inlineStr">
        <is>
          <t>H2 27: storage tube bank (~40 ft tubes)</t>
        </is>
      </c>
      <c r="G5823" s="12" t="inlineStr">
        <is>
          <t>JB-H2 27: storage tub-SOL01</t>
        </is>
      </c>
      <c r="H5823" s="12" t="inlineStr">
        <is>
          <t>H2 27: storage tube bank (~40 ft tubes)</t>
        </is>
      </c>
      <c r="I5823" s="12" t="inlineStr">
        <is>
          <t>Control</t>
        </is>
      </c>
      <c r="J5823" s="12" t="inlineStr">
        <is>
          <t>ARMOR-X MC-HL 600 V control, Cu #14 AWG (Class I Div 2)</t>
        </is>
      </c>
      <c r="K5823" s="12" t="inlineStr">
        <is>
          <t>CTAX|2/C|14</t>
        </is>
      </c>
      <c r="L5823" s="12" t="inlineStr">
        <is>
          <t>2/C</t>
        </is>
      </c>
      <c r="M5823" s="12" t="inlineStr">
        <is>
          <t>14</t>
        </is>
      </c>
      <c r="N5823" s="12" t="n">
        <v>2</v>
      </c>
      <c r="O5823" s="12" t="n">
        <v>1</v>
      </c>
      <c r="P5823" s="12" t="n"/>
      <c r="Q5823" s="12" t="n"/>
      <c r="R5823" s="12" t="n"/>
      <c r="S5823" s="12" t="inlineStr">
        <is>
          <t>Tray / conduit</t>
        </is>
      </c>
      <c r="T5823" s="15" t="n">
        <v>54</v>
      </c>
      <c r="U5823" s="15" t="n">
        <v>10</v>
      </c>
      <c r="V5823" s="15">
        <f>ROUNDUP((T5823+U5823+2*'Read Me'!$B$13)*(1+'Read Me'!$B$12),-1)</f>
        <v/>
      </c>
      <c r="W5823" s="15">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K-C-0068</t>
        </is>
      </c>
      <c r="B5824" s="12" t="inlineStr">
        <is>
          <t>K</t>
        </is>
      </c>
      <c r="C5824" s="12" t="inlineStr">
        <is>
          <t>Fuel supply (adjacent market)</t>
        </is>
      </c>
      <c r="D5824" s="12" t="inlineStr">
        <is>
          <t>Home run JB-H2 27: storage tub-SOL01 to the control / marshalling room</t>
        </is>
      </c>
      <c r="E5824" s="12" t="inlineStr"/>
      <c r="F5824" s="12" t="inlineStr">
        <is>
          <t>H2 20: 13.8 kV e-house</t>
        </is>
      </c>
      <c r="G5824" s="12" t="inlineStr">
        <is>
          <t>JB-H2 27: storage tub-SOL01</t>
        </is>
      </c>
      <c r="H5824" s="12" t="inlineStr">
        <is>
          <t>H2 27: storage tube bank (~40 ft tubes)</t>
        </is>
      </c>
      <c r="I5824" s="12" t="inlineStr">
        <is>
          <t>Control</t>
        </is>
      </c>
      <c r="J5824" s="12" t="inlineStr">
        <is>
          <t>ARMOR-X MC-HL 600 V control, Cu #14 AWG (Class I Div 2)</t>
        </is>
      </c>
      <c r="K5824" s="12" t="inlineStr">
        <is>
          <t>CTAX|25/C|14</t>
        </is>
      </c>
      <c r="L5824" s="12" t="inlineStr">
        <is>
          <t>25/C</t>
        </is>
      </c>
      <c r="M5824" s="12" t="inlineStr">
        <is>
          <t>14</t>
        </is>
      </c>
      <c r="N5824" s="12" t="n">
        <v>1</v>
      </c>
      <c r="O5824" s="12" t="n">
        <v>1</v>
      </c>
      <c r="P5824" s="12" t="n"/>
      <c r="Q5824" s="12" t="n"/>
      <c r="R5824" s="12" t="n"/>
      <c r="S5824" s="12" t="inlineStr">
        <is>
          <t>Duct bank</t>
        </is>
      </c>
      <c r="T5824" s="15" t="n">
        <v>50</v>
      </c>
      <c r="U5824" s="15" t="n">
        <v>97</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K-C-0069</t>
        </is>
      </c>
      <c r="B5825" s="12" t="inlineStr">
        <is>
          <t>K</t>
        </is>
      </c>
      <c r="C5825" s="12" t="inlineStr">
        <is>
          <t>Fuel supply (adjacent market)</t>
        </is>
      </c>
      <c r="D5825" s="12" t="inlineStr">
        <is>
          <t>Motor 1 of 1: control / local station</t>
        </is>
      </c>
      <c r="E5825" s="12" t="inlineStr"/>
      <c r="F5825" s="12" t="inlineStr">
        <is>
          <t>H2 20: 13.8 kV e-house</t>
        </is>
      </c>
      <c r="G5825" s="12" t="inlineStr"/>
      <c r="H5825" s="12" t="inlineStr">
        <is>
          <t>H2 27: storage tube bank (~40 ft tubes)</t>
        </is>
      </c>
      <c r="I5825" s="12" t="inlineStr">
        <is>
          <t>Control</t>
        </is>
      </c>
      <c r="J5825" s="12" t="inlineStr">
        <is>
          <t>ARMOR-X MC-HL 600 V control, Cu #14 AWG (Class I Div 2)</t>
        </is>
      </c>
      <c r="K5825" s="12" t="inlineStr">
        <is>
          <t>CTAX|7/C|14</t>
        </is>
      </c>
      <c r="L5825" s="12" t="inlineStr">
        <is>
          <t>7/C</t>
        </is>
      </c>
      <c r="M5825" s="12" t="inlineStr">
        <is>
          <t>14</t>
        </is>
      </c>
      <c r="N5825" s="12" t="n">
        <v>1</v>
      </c>
      <c r="O5825" s="12" t="n">
        <v>1</v>
      </c>
      <c r="P5825" s="12" t="n"/>
      <c r="Q5825" s="12" t="n"/>
      <c r="R5825" s="12" t="n"/>
      <c r="S5825" s="12" t="inlineStr">
        <is>
          <t>Duct bank</t>
        </is>
      </c>
      <c r="T5825" s="15" t="n">
        <v>50</v>
      </c>
      <c r="U5825" s="15" t="n">
        <v>117</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K-C-0070</t>
        </is>
      </c>
      <c r="B5826" s="12" t="inlineStr">
        <is>
          <t>K</t>
        </is>
      </c>
      <c r="C5826" s="12" t="inlineStr">
        <is>
          <t>Fuel supply (adjacent market)</t>
        </is>
      </c>
      <c r="D5826" s="12" t="inlineStr">
        <is>
          <t>Solenoid to JB JB-H2 27: storage tub-SOL01: 2 x 2/C (field cables)</t>
        </is>
      </c>
      <c r="E5826" s="12" t="inlineStr"/>
      <c r="F5826" s="12" t="inlineStr">
        <is>
          <t>H2 27: storage tube bank (~40 ft tubes)</t>
        </is>
      </c>
      <c r="G5826" s="12" t="inlineStr">
        <is>
          <t>JB-H2 27: storage tub-SOL01</t>
        </is>
      </c>
      <c r="H5826" s="12" t="inlineStr">
        <is>
          <t>H2 27: storage tube bank (~40 ft tubes)</t>
        </is>
      </c>
      <c r="I5826" s="12" t="inlineStr">
        <is>
          <t>Control</t>
        </is>
      </c>
      <c r="J5826" s="12" t="inlineStr">
        <is>
          <t>ARMOR-X MC-HL 600 V control, Cu #14 AWG (Class I Div 2)</t>
        </is>
      </c>
      <c r="K5826" s="12" t="inlineStr">
        <is>
          <t>CTAX|2/C|14</t>
        </is>
      </c>
      <c r="L5826" s="12" t="inlineStr">
        <is>
          <t>2/C</t>
        </is>
      </c>
      <c r="M5826" s="12" t="inlineStr">
        <is>
          <t>14</t>
        </is>
      </c>
      <c r="N5826" s="12" t="n">
        <v>2</v>
      </c>
      <c r="O5826" s="12" t="n">
        <v>1</v>
      </c>
      <c r="P5826" s="12" t="n"/>
      <c r="Q5826" s="12" t="n"/>
      <c r="R5826" s="12" t="n"/>
      <c r="S5826" s="12" t="inlineStr">
        <is>
          <t>Tray / conduit</t>
        </is>
      </c>
      <c r="T5826" s="15" t="n">
        <v>54</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K-C-0071</t>
        </is>
      </c>
      <c r="B5827" s="12" t="inlineStr">
        <is>
          <t>K</t>
        </is>
      </c>
      <c r="C5827" s="12" t="inlineStr">
        <is>
          <t>Fuel supply (adjacent market)</t>
        </is>
      </c>
      <c r="D5827" s="12" t="inlineStr">
        <is>
          <t>Home run JB-H2 27: storage tub-SOL01 to the control / marshalling room</t>
        </is>
      </c>
      <c r="E5827" s="12" t="inlineStr"/>
      <c r="F5827" s="12" t="inlineStr">
        <is>
          <t>H2 20: 13.8 kV e-house</t>
        </is>
      </c>
      <c r="G5827" s="12" t="inlineStr">
        <is>
          <t>JB-H2 27: storage tub-SOL01</t>
        </is>
      </c>
      <c r="H5827" s="12" t="inlineStr">
        <is>
          <t>H2 27: storage tube bank (~40 ft tubes)</t>
        </is>
      </c>
      <c r="I5827" s="12" t="inlineStr">
        <is>
          <t>Control</t>
        </is>
      </c>
      <c r="J5827" s="12" t="inlineStr">
        <is>
          <t>ARMOR-X MC-HL 600 V control, Cu #14 AWG (Class I Div 2)</t>
        </is>
      </c>
      <c r="K5827" s="12" t="inlineStr">
        <is>
          <t>CTAX|25/C|14</t>
        </is>
      </c>
      <c r="L5827" s="12" t="inlineStr">
        <is>
          <t>25/C</t>
        </is>
      </c>
      <c r="M5827" s="12" t="inlineStr">
        <is>
          <t>14</t>
        </is>
      </c>
      <c r="N5827" s="12" t="n">
        <v>1</v>
      </c>
      <c r="O5827" s="12" t="n">
        <v>1</v>
      </c>
      <c r="P5827" s="12" t="n"/>
      <c r="Q5827" s="12" t="n"/>
      <c r="R5827" s="12" t="n"/>
      <c r="S5827" s="12" t="inlineStr">
        <is>
          <t>Duct bank</t>
        </is>
      </c>
      <c r="T5827" s="15" t="n">
        <v>50</v>
      </c>
      <c r="U5827" s="15" t="n">
        <v>117</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K-C-0072</t>
        </is>
      </c>
      <c r="B5828" s="12" t="inlineStr">
        <is>
          <t>K</t>
        </is>
      </c>
      <c r="C5828" s="12" t="inlineStr">
        <is>
          <t>Fuel supply (adjacent market)</t>
        </is>
      </c>
      <c r="D5828" s="12" t="inlineStr">
        <is>
          <t>Motor 1 of 1: control / local station</t>
        </is>
      </c>
      <c r="E5828" s="12" t="inlineStr"/>
      <c r="F5828" s="12" t="inlineStr">
        <is>
          <t>H2 20: 13.8 kV e-house</t>
        </is>
      </c>
      <c r="G5828" s="12" t="inlineStr"/>
      <c r="H5828" s="12" t="inlineStr">
        <is>
          <t>H2 28: N2 purge supply</t>
        </is>
      </c>
      <c r="I5828" s="12" t="inlineStr">
        <is>
          <t>Control</t>
        </is>
      </c>
      <c r="J5828" s="12" t="inlineStr">
        <is>
          <t>ARMOR-X MC-HL 600 V control, Cu #14 AWG (Class I Div 2)</t>
        </is>
      </c>
      <c r="K5828" s="12" t="inlineStr">
        <is>
          <t>CTAX|7/C|14</t>
        </is>
      </c>
      <c r="L5828" s="12" t="inlineStr">
        <is>
          <t>7/C</t>
        </is>
      </c>
      <c r="M5828" s="12" t="inlineStr">
        <is>
          <t>14</t>
        </is>
      </c>
      <c r="N5828" s="12" t="n">
        <v>1</v>
      </c>
      <c r="O5828" s="12" t="n">
        <v>1</v>
      </c>
      <c r="P5828" s="12" t="n"/>
      <c r="Q5828" s="12" t="n"/>
      <c r="R5828" s="12" t="n"/>
      <c r="S5828" s="12" t="inlineStr">
        <is>
          <t>Duct bank</t>
        </is>
      </c>
      <c r="T5828" s="15" t="n">
        <v>53</v>
      </c>
      <c r="U5828" s="15" t="n">
        <v>36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K-C-0073</t>
        </is>
      </c>
      <c r="B5829" s="12" t="inlineStr">
        <is>
          <t>K</t>
        </is>
      </c>
      <c r="C5829" s="12" t="inlineStr">
        <is>
          <t>Fuel supply (adjacent market)</t>
        </is>
      </c>
      <c r="D5829" s="12" t="inlineStr">
        <is>
          <t>Solenoid to JB JB-H2 28: N2 purge su-SOL01: 2 x 2/C (field cables)</t>
        </is>
      </c>
      <c r="E5829" s="12" t="inlineStr"/>
      <c r="F5829" s="12" t="inlineStr">
        <is>
          <t>H2 28: N2 purge supply</t>
        </is>
      </c>
      <c r="G5829" s="12" t="inlineStr">
        <is>
          <t>JB-H2 28: N2 purge su-SOL01</t>
        </is>
      </c>
      <c r="H5829" s="12" t="inlineStr">
        <is>
          <t>H2 28: N2 purge supply</t>
        </is>
      </c>
      <c r="I5829" s="12" t="inlineStr">
        <is>
          <t>Control</t>
        </is>
      </c>
      <c r="J5829" s="12" t="inlineStr">
        <is>
          <t>ARMOR-X MC-HL 600 V control, Cu #14 AWG (Class I Div 2)</t>
        </is>
      </c>
      <c r="K5829" s="12" t="inlineStr">
        <is>
          <t>CTAX|2/C|14</t>
        </is>
      </c>
      <c r="L5829" s="12" t="inlineStr">
        <is>
          <t>2/C</t>
        </is>
      </c>
      <c r="M5829" s="12" t="inlineStr">
        <is>
          <t>14</t>
        </is>
      </c>
      <c r="N5829" s="12" t="n">
        <v>2</v>
      </c>
      <c r="O5829" s="12" t="n">
        <v>1</v>
      </c>
      <c r="P5829" s="12" t="n"/>
      <c r="Q5829" s="12" t="n"/>
      <c r="R5829" s="12" t="n"/>
      <c r="S5829" s="12" t="inlineStr">
        <is>
          <t>Tray / conduit</t>
        </is>
      </c>
      <c r="T5829" s="15" t="n">
        <v>56</v>
      </c>
      <c r="U5829" s="15" t="n">
        <v>10</v>
      </c>
      <c r="V5829" s="15">
        <f>ROUNDUP((T5829+U5829+2*'Read Me'!$B$13)*(1+'Read Me'!$B$12),-1)</f>
        <v/>
      </c>
      <c r="W5829" s="15">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K-C-0074</t>
        </is>
      </c>
      <c r="B5830" s="12" t="inlineStr">
        <is>
          <t>K</t>
        </is>
      </c>
      <c r="C5830" s="12" t="inlineStr">
        <is>
          <t>Fuel supply (adjacent market)</t>
        </is>
      </c>
      <c r="D5830" s="12" t="inlineStr">
        <is>
          <t>Home run JB-H2 28: N2 purge su-SOL01 to the control / marshalling room</t>
        </is>
      </c>
      <c r="E5830" s="12" t="inlineStr"/>
      <c r="F5830" s="12" t="inlineStr">
        <is>
          <t>H2 20: 13.8 kV e-house</t>
        </is>
      </c>
      <c r="G5830" s="12" t="inlineStr">
        <is>
          <t>JB-H2 28: N2 purge su-SOL01</t>
        </is>
      </c>
      <c r="H5830" s="12" t="inlineStr">
        <is>
          <t>H2 28: N2 purge supply</t>
        </is>
      </c>
      <c r="I5830" s="12" t="inlineStr">
        <is>
          <t>Control</t>
        </is>
      </c>
      <c r="J5830" s="12" t="inlineStr">
        <is>
          <t>ARMOR-X MC-HL 600 V control, Cu #14 AWG (Class I Div 2)</t>
        </is>
      </c>
      <c r="K5830" s="12" t="inlineStr">
        <is>
          <t>CTAX|25/C|14</t>
        </is>
      </c>
      <c r="L5830" s="12" t="inlineStr">
        <is>
          <t>25/C</t>
        </is>
      </c>
      <c r="M5830" s="12" t="inlineStr">
        <is>
          <t>14</t>
        </is>
      </c>
      <c r="N5830" s="12" t="n">
        <v>1</v>
      </c>
      <c r="O5830" s="12" t="n">
        <v>1</v>
      </c>
      <c r="P5830" s="12" t="n"/>
      <c r="Q5830" s="12" t="n"/>
      <c r="R5830" s="12" t="n"/>
      <c r="S5830" s="12" t="inlineStr">
        <is>
          <t>Duct bank</t>
        </is>
      </c>
      <c r="T5830" s="15" t="n">
        <v>53</v>
      </c>
      <c r="U5830" s="15" t="n">
        <v>36</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K-C-0075</t>
        </is>
      </c>
      <c r="B5831" s="12" t="inlineStr">
        <is>
          <t>K</t>
        </is>
      </c>
      <c r="C5831" s="12" t="inlineStr">
        <is>
          <t>Fuel supply (adjacent market)</t>
        </is>
      </c>
      <c r="D5831" s="12" t="inlineStr">
        <is>
          <t>Motor 1 of 1: control / local station</t>
        </is>
      </c>
      <c r="E5831" s="12" t="inlineStr"/>
      <c r="F5831" s="12" t="inlineStr">
        <is>
          <t>H2 20: 13.8 kV e-house</t>
        </is>
      </c>
      <c r="G5831" s="12" t="inlineStr"/>
      <c r="H5831" s="12" t="inlineStr">
        <is>
          <t>H2 29: vent stack</t>
        </is>
      </c>
      <c r="I5831" s="12" t="inlineStr">
        <is>
          <t>Control</t>
        </is>
      </c>
      <c r="J5831" s="12" t="inlineStr">
        <is>
          <t>ARMOR-X MC-HL 600 V control, Cu #14 AWG (Class I Div 2)</t>
        </is>
      </c>
      <c r="K5831" s="12" t="inlineStr">
        <is>
          <t>CTAX|7/C|14</t>
        </is>
      </c>
      <c r="L5831" s="12" t="inlineStr">
        <is>
          <t>7/C</t>
        </is>
      </c>
      <c r="M5831" s="12" t="inlineStr">
        <is>
          <t>14</t>
        </is>
      </c>
      <c r="N5831" s="12" t="n">
        <v>1</v>
      </c>
      <c r="O5831" s="12" t="n">
        <v>1</v>
      </c>
      <c r="P5831" s="12" t="n"/>
      <c r="Q5831" s="12" t="n"/>
      <c r="R5831" s="12" t="n"/>
      <c r="S5831" s="12" t="inlineStr">
        <is>
          <t>Duct bank</t>
        </is>
      </c>
      <c r="T5831" s="15" t="n">
        <v>55</v>
      </c>
      <c r="U5831" s="15" t="n">
        <v>205</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K-C-0076</t>
        </is>
      </c>
      <c r="B5832" s="12" t="inlineStr">
        <is>
          <t>K</t>
        </is>
      </c>
      <c r="C5832" s="12" t="inlineStr">
        <is>
          <t>Fuel supply (adjacent market)</t>
        </is>
      </c>
      <c r="D5832" s="12" t="inlineStr">
        <is>
          <t>Solenoid to JB JB-H2 29: vent stack-SOL01: 2 x 2/C (field cables)</t>
        </is>
      </c>
      <c r="E5832" s="12" t="inlineStr"/>
      <c r="F5832" s="12" t="inlineStr">
        <is>
          <t>H2 29: vent stack</t>
        </is>
      </c>
      <c r="G5832" s="12" t="inlineStr">
        <is>
          <t>JB-H2 29: vent stack-SOL01</t>
        </is>
      </c>
      <c r="H5832" s="12" t="inlineStr">
        <is>
          <t>H2 29: vent stack</t>
        </is>
      </c>
      <c r="I5832" s="12" t="inlineStr">
        <is>
          <t>Control</t>
        </is>
      </c>
      <c r="J5832" s="12" t="inlineStr">
        <is>
          <t>ARMOR-X MC-HL 600 V control, Cu #14 AWG (Class I Div 2)</t>
        </is>
      </c>
      <c r="K5832" s="12" t="inlineStr">
        <is>
          <t>CTAX|2/C|14</t>
        </is>
      </c>
      <c r="L5832" s="12" t="inlineStr">
        <is>
          <t>2/C</t>
        </is>
      </c>
      <c r="M5832" s="12" t="inlineStr">
        <is>
          <t>14</t>
        </is>
      </c>
      <c r="N5832" s="12" t="n">
        <v>2</v>
      </c>
      <c r="O5832" s="12" t="n">
        <v>1</v>
      </c>
      <c r="P5832" s="12" t="n"/>
      <c r="Q5832" s="12" t="n"/>
      <c r="R5832" s="12" t="n"/>
      <c r="S5832" s="12" t="inlineStr">
        <is>
          <t>Tray / conduit</t>
        </is>
      </c>
      <c r="T5832" s="15" t="n">
        <v>45</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K-C-0077</t>
        </is>
      </c>
      <c r="B5833" s="12" t="inlineStr">
        <is>
          <t>K</t>
        </is>
      </c>
      <c r="C5833" s="12" t="inlineStr">
        <is>
          <t>Fuel supply (adjacent market)</t>
        </is>
      </c>
      <c r="D5833" s="12" t="inlineStr">
        <is>
          <t>Home run JB-H2 29: vent stack-SOL01 to the control / marshalling room</t>
        </is>
      </c>
      <c r="E5833" s="12" t="inlineStr"/>
      <c r="F5833" s="12" t="inlineStr">
        <is>
          <t>H2 20: 13.8 kV e-house</t>
        </is>
      </c>
      <c r="G5833" s="12" t="inlineStr">
        <is>
          <t>JB-H2 29: vent stack-SOL01</t>
        </is>
      </c>
      <c r="H5833" s="12" t="inlineStr">
        <is>
          <t>H2 29: vent stack</t>
        </is>
      </c>
      <c r="I5833" s="12" t="inlineStr">
        <is>
          <t>Control</t>
        </is>
      </c>
      <c r="J5833" s="12" t="inlineStr">
        <is>
          <t>ARMOR-X MC-HL 600 V control, Cu #14 AWG (Class I Div 2)</t>
        </is>
      </c>
      <c r="K5833" s="12" t="inlineStr">
        <is>
          <t>CTAX|25/C|14</t>
        </is>
      </c>
      <c r="L5833" s="12" t="inlineStr">
        <is>
          <t>25/C</t>
        </is>
      </c>
      <c r="M5833" s="12" t="inlineStr">
        <is>
          <t>14</t>
        </is>
      </c>
      <c r="N5833" s="12" t="n">
        <v>1</v>
      </c>
      <c r="O5833" s="12" t="n">
        <v>1</v>
      </c>
      <c r="P5833" s="12" t="n"/>
      <c r="Q5833" s="12" t="n"/>
      <c r="R5833" s="12" t="n"/>
      <c r="S5833" s="12" t="inlineStr">
        <is>
          <t>Duct bank</t>
        </is>
      </c>
      <c r="T5833" s="15" t="n">
        <v>55</v>
      </c>
      <c r="U5833" s="15" t="n">
        <v>205</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K-C-0078</t>
        </is>
      </c>
      <c r="B5834" s="12" t="inlineStr">
        <is>
          <t>K</t>
        </is>
      </c>
      <c r="C5834" s="12" t="inlineStr">
        <is>
          <t>Fuel supply (adjacent market)</t>
        </is>
      </c>
      <c r="D5834" s="12" t="inlineStr">
        <is>
          <t>Motor 1 of 1: control / local station</t>
        </is>
      </c>
      <c r="E5834" s="12" t="inlineStr"/>
      <c r="F5834" s="12" t="inlineStr">
        <is>
          <t>LNG 17: LNG e-house (13.8 kV / 480 V)</t>
        </is>
      </c>
      <c r="G5834" s="12" t="inlineStr"/>
      <c r="H5834" s="12" t="inlineStr">
        <is>
          <t>H2 30: H2 / gas blending station (plant gas yard)</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994</v>
      </c>
      <c r="U5834" s="15" t="n">
        <v>114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K-C-0079</t>
        </is>
      </c>
      <c r="B5835" s="12" t="inlineStr">
        <is>
          <t>K</t>
        </is>
      </c>
      <c r="C5835" s="12" t="inlineStr">
        <is>
          <t>Fuel supply (adjacent market)</t>
        </is>
      </c>
      <c r="D5835" s="12" t="inlineStr">
        <is>
          <t>Solenoid to JB JB-H2 30: H2 / gas bl-SOL01: 2 x 2/C (field cables)</t>
        </is>
      </c>
      <c r="E5835" s="12" t="inlineStr"/>
      <c r="F5835" s="12" t="inlineStr">
        <is>
          <t>H2 30: H2 / gas blending station (plant gas yard)</t>
        </is>
      </c>
      <c r="G5835" s="12" t="inlineStr">
        <is>
          <t>JB-H2 30: H2 / gas bl-SOL01</t>
        </is>
      </c>
      <c r="H5835" s="12" t="inlineStr">
        <is>
          <t>H2 30: H2 / gas blending station (plant gas yard)</t>
        </is>
      </c>
      <c r="I5835" s="12" t="inlineStr">
        <is>
          <t>Control</t>
        </is>
      </c>
      <c r="J5835" s="12" t="inlineStr">
        <is>
          <t>ARMOR-X MC-HL 600 V control, Cu #14 AWG (Class I Div 2)</t>
        </is>
      </c>
      <c r="K5835" s="12" t="inlineStr">
        <is>
          <t>CTAX|2/C|14</t>
        </is>
      </c>
      <c r="L5835" s="12" t="inlineStr">
        <is>
          <t>2/C</t>
        </is>
      </c>
      <c r="M5835" s="12" t="inlineStr">
        <is>
          <t>14</t>
        </is>
      </c>
      <c r="N5835" s="12" t="n">
        <v>2</v>
      </c>
      <c r="O5835" s="12" t="n">
        <v>1</v>
      </c>
      <c r="P5835" s="12" t="n"/>
      <c r="Q5835" s="12" t="n"/>
      <c r="R5835" s="12" t="n"/>
      <c r="S5835" s="12" t="inlineStr">
        <is>
          <t>Tray / conduit</t>
        </is>
      </c>
      <c r="T5835" s="15" t="n">
        <v>129</v>
      </c>
      <c r="U5835" s="15" t="n">
        <v>10</v>
      </c>
      <c r="V5835" s="15">
        <f>ROUNDUP((T5835+U5835+2*'Read Me'!$B$13)*(1+'Read Me'!$B$12),-1)</f>
        <v/>
      </c>
      <c r="W5835" s="15">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K-C-0080</t>
        </is>
      </c>
      <c r="B5836" s="12" t="inlineStr">
        <is>
          <t>K</t>
        </is>
      </c>
      <c r="C5836" s="12" t="inlineStr">
        <is>
          <t>Fuel supply (adjacent market)</t>
        </is>
      </c>
      <c r="D5836" s="12" t="inlineStr">
        <is>
          <t>Home run JB-H2 30: H2 / gas bl-SOL01 to the control / marshalling room</t>
        </is>
      </c>
      <c r="E5836" s="12" t="inlineStr"/>
      <c r="F5836" s="12" t="inlineStr">
        <is>
          <t>LNG 17: LNG e-house (13.8 kV / 480 V)</t>
        </is>
      </c>
      <c r="G5836" s="12" t="inlineStr">
        <is>
          <t>JB-H2 30: H2 / gas bl-SOL01</t>
        </is>
      </c>
      <c r="H5836" s="12" t="inlineStr">
        <is>
          <t>H2 30: H2 / gas blending station (plant gas yard)</t>
        </is>
      </c>
      <c r="I5836" s="12" t="inlineStr">
        <is>
          <t>Control</t>
        </is>
      </c>
      <c r="J5836" s="12" t="inlineStr">
        <is>
          <t>ARMOR-X MC-HL 600 V control, Cu #14 AWG (Class I Div 2)</t>
        </is>
      </c>
      <c r="K5836" s="12" t="inlineStr">
        <is>
          <t>CTAX|25/C|14</t>
        </is>
      </c>
      <c r="L5836" s="12" t="inlineStr">
        <is>
          <t>25/C</t>
        </is>
      </c>
      <c r="M5836" s="12" t="inlineStr">
        <is>
          <t>14</t>
        </is>
      </c>
      <c r="N5836" s="12" t="n">
        <v>1</v>
      </c>
      <c r="O5836" s="12" t="n">
        <v>1</v>
      </c>
      <c r="P5836" s="12" t="n"/>
      <c r="Q5836" s="12" t="n"/>
      <c r="R5836" s="12" t="n"/>
      <c r="S5836" s="12" t="inlineStr">
        <is>
          <t>Duct bank</t>
        </is>
      </c>
      <c r="T5836" s="15" t="n">
        <v>994</v>
      </c>
      <c r="U5836" s="15" t="n">
        <v>114</v>
      </c>
      <c r="V5836" s="15">
        <f>ROUNDUP((T5836+U5836+2*'Read Me'!$B$13)*(1+'Read Me'!$B$12),-1)</f>
        <v/>
      </c>
      <c r="W5836" s="15">
        <f>V5836*N5836*O5836</f>
        <v/>
      </c>
      <c r="X5836" s="12">
        <f>IF(LEFT(I5836,2)="MV",2*N5836*IF(L5836="1/C",O5836,1),0)</f>
        <v/>
      </c>
      <c r="Y5836" s="12">
        <f>IF(OR(LEFT(K5836,4)="LVAX",LEFT(K5836,6)="MV15AX",LEFT(K5836,4)="CTAX",LEFT(K5836,2)="W|"),2*N5836*O5836,0)</f>
        <v/>
      </c>
      <c r="Z5836" s="12" t="inlineStr"/>
      <c r="AA5836" s="12">
        <f>N5836*O5836</f>
        <v/>
      </c>
    </row>
    <row r="5837">
      <c r="A5837" s="12" t="inlineStr">
        <is>
          <t>K-C-0081</t>
        </is>
      </c>
      <c r="B5837" s="12" t="inlineStr">
        <is>
          <t>K</t>
        </is>
      </c>
      <c r="C5837" s="12" t="inlineStr">
        <is>
          <t>Fuel supply (adjacent market)</t>
        </is>
      </c>
      <c r="D5837" s="12" t="inlineStr">
        <is>
          <t>Motor 1 of 2: control / local station</t>
        </is>
      </c>
      <c r="E5837" s="12" t="inlineStr"/>
      <c r="F5837" s="12" t="inlineStr">
        <is>
          <t>H2 20: 13.8 kV e-house</t>
        </is>
      </c>
      <c r="G5837" s="12" t="inlineStr"/>
      <c r="H5837" s="12" t="inlineStr">
        <is>
          <t>H2 pipe track and cable trench, hall -&gt; dryer / compressors (N2, instr</t>
        </is>
      </c>
      <c r="I5837" s="12" t="inlineStr">
        <is>
          <t>Control</t>
        </is>
      </c>
      <c r="J5837" s="12" t="inlineStr">
        <is>
          <t>ARMOR-X MC-HL 600 V control, Cu #14 AWG (Class I Div 2)</t>
        </is>
      </c>
      <c r="K5837" s="12" t="inlineStr">
        <is>
          <t>CTAX|7/C|14</t>
        </is>
      </c>
      <c r="L5837" s="12" t="inlineStr">
        <is>
          <t>7/C</t>
        </is>
      </c>
      <c r="M5837" s="12" t="inlineStr">
        <is>
          <t>14</t>
        </is>
      </c>
      <c r="N5837" s="12" t="n">
        <v>1</v>
      </c>
      <c r="O5837" s="12" t="n">
        <v>1</v>
      </c>
      <c r="P5837" s="12" t="n"/>
      <c r="Q5837" s="12" t="n"/>
      <c r="R5837" s="12" t="n"/>
      <c r="S5837" s="12" t="inlineStr">
        <is>
          <t>Duct bank</t>
        </is>
      </c>
      <c r="T5837" s="15" t="n">
        <v>53</v>
      </c>
      <c r="U5837" s="15" t="n">
        <v>62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K-C-0082</t>
        </is>
      </c>
      <c r="B5838" s="12" t="inlineStr">
        <is>
          <t>K</t>
        </is>
      </c>
      <c r="C5838" s="12" t="inlineStr">
        <is>
          <t>Fuel supply (adjacent market)</t>
        </is>
      </c>
      <c r="D5838" s="12" t="inlineStr">
        <is>
          <t>Motor 2 of 2: control / local station</t>
        </is>
      </c>
      <c r="E5838" s="12" t="inlineStr"/>
      <c r="F5838" s="12" t="inlineStr">
        <is>
          <t>H2 20: 13.8 kV e-house</t>
        </is>
      </c>
      <c r="G5838" s="12" t="inlineStr"/>
      <c r="H5838" s="12" t="inlineStr">
        <is>
          <t>H2 pipe track and cable trench, hall -&gt; dryer / compressors (N2, instr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53</v>
      </c>
      <c r="U5838" s="15" t="n">
        <v>62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K-C-0083</t>
        </is>
      </c>
      <c r="B5839" s="12" t="inlineStr">
        <is>
          <t>K</t>
        </is>
      </c>
      <c r="C5839" s="12" t="inlineStr">
        <is>
          <t>Fuel supply (adjacent market)</t>
        </is>
      </c>
      <c r="D5839" s="12" t="inlineStr">
        <is>
          <t>Control</t>
        </is>
      </c>
      <c r="E5839" s="12" t="inlineStr"/>
      <c r="F5839" s="12" t="inlineStr">
        <is>
          <t>H2 20: 13.8 kV e-house</t>
        </is>
      </c>
      <c r="G5839" s="12" t="inlineStr">
        <is>
          <t>H2-ST</t>
        </is>
      </c>
      <c r="H5839" s="12" t="inlineStr">
        <is>
          <t>H2 storage tube banks x4</t>
        </is>
      </c>
      <c r="I5839" s="12" t="inlineStr">
        <is>
          <t>Control</t>
        </is>
      </c>
      <c r="J5839" s="12" t="inlineStr">
        <is>
          <t>ARMOR-X MC-HL 600 V control, Cu #14 AWG (Class I Div 2)</t>
        </is>
      </c>
      <c r="K5839" s="12" t="inlineStr">
        <is>
          <t>CTAX|7/C|14</t>
        </is>
      </c>
      <c r="L5839" s="12" t="inlineStr">
        <is>
          <t>7/C</t>
        </is>
      </c>
      <c r="M5839" s="12" t="inlineStr">
        <is>
          <t>14</t>
        </is>
      </c>
      <c r="N5839" s="12" t="n">
        <v>1</v>
      </c>
      <c r="O5839" s="12" t="n">
        <v>1</v>
      </c>
      <c r="P5839" s="12" t="n"/>
      <c r="Q5839" s="12" t="n"/>
      <c r="R5839" s="12" t="n"/>
      <c r="S5839" s="12" t="inlineStr">
        <is>
          <t>Duct bank</t>
        </is>
      </c>
      <c r="T5839" s="15" t="n">
        <v>50</v>
      </c>
      <c r="U5839" s="15" t="n">
        <v>92</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K-C-0084</t>
        </is>
      </c>
      <c r="B5840" s="12" t="inlineStr">
        <is>
          <t>K</t>
        </is>
      </c>
      <c r="C5840" s="12" t="inlineStr">
        <is>
          <t>Fuel supply (adjacent market)</t>
        </is>
      </c>
      <c r="D5840" s="12" t="inlineStr">
        <is>
          <t>Motor 1 of 1: control / local station</t>
        </is>
      </c>
      <c r="E5840" s="12" t="inlineStr"/>
      <c r="F5840" s="12" t="inlineStr">
        <is>
          <t>LNG 17: LNG e-house (13.8 kV / 480 V)</t>
        </is>
      </c>
      <c r="G5840" s="12" t="inlineStr"/>
      <c r="H5840" s="12" t="inlineStr">
        <is>
          <t>LNG 10: truck unloading bay 1</t>
        </is>
      </c>
      <c r="I5840" s="12" t="inlineStr">
        <is>
          <t>Control</t>
        </is>
      </c>
      <c r="J5840" s="12" t="inlineStr">
        <is>
          <t>ARMOR-X MC-HL 600 V control, Cu #14 AWG (Class I Div 2)</t>
        </is>
      </c>
      <c r="K5840" s="12" t="inlineStr">
        <is>
          <t>CTAX|7/C|14</t>
        </is>
      </c>
      <c r="L5840" s="12" t="inlineStr">
        <is>
          <t>7/C</t>
        </is>
      </c>
      <c r="M5840" s="12" t="inlineStr">
        <is>
          <t>14</t>
        </is>
      </c>
      <c r="N5840" s="12" t="n">
        <v>1</v>
      </c>
      <c r="O5840" s="12" t="n">
        <v>1</v>
      </c>
      <c r="P5840" s="12" t="n"/>
      <c r="Q5840" s="12" t="n"/>
      <c r="R5840" s="12" t="n"/>
      <c r="S5840" s="12" t="inlineStr">
        <is>
          <t>Duct bank</t>
        </is>
      </c>
      <c r="T5840" s="15" t="n">
        <v>237</v>
      </c>
      <c r="U5840" s="15" t="n">
        <v>61</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K-C-0085</t>
        </is>
      </c>
      <c r="B5841" s="12" t="inlineStr">
        <is>
          <t>K</t>
        </is>
      </c>
      <c r="C5841" s="12" t="inlineStr">
        <is>
          <t>Fuel supply (adjacent market)</t>
        </is>
      </c>
      <c r="D5841" s="12" t="inlineStr">
        <is>
          <t>Solenoid to JB JB-LNG 10: truck unlo-SOL01: 2 x 2/C (field cables)</t>
        </is>
      </c>
      <c r="E5841" s="12" t="inlineStr"/>
      <c r="F5841" s="12" t="inlineStr">
        <is>
          <t>LNG 10: truck unloading bay 1</t>
        </is>
      </c>
      <c r="G5841" s="12" t="inlineStr">
        <is>
          <t>JB-LNG 10: truck unlo-SOL01</t>
        </is>
      </c>
      <c r="H5841" s="12" t="inlineStr">
        <is>
          <t>LNG 10: truck unloading bay 1</t>
        </is>
      </c>
      <c r="I5841" s="12" t="inlineStr">
        <is>
          <t>Control</t>
        </is>
      </c>
      <c r="J5841" s="12" t="inlineStr">
        <is>
          <t>ARMOR-X MC-HL 600 V control, Cu #14 AWG (Class I Div 2)</t>
        </is>
      </c>
      <c r="K5841" s="12" t="inlineStr">
        <is>
          <t>CTAX|2/C|14</t>
        </is>
      </c>
      <c r="L5841" s="12" t="inlineStr">
        <is>
          <t>2/C</t>
        </is>
      </c>
      <c r="M5841" s="12" t="inlineStr">
        <is>
          <t>14</t>
        </is>
      </c>
      <c r="N5841" s="12" t="n">
        <v>2</v>
      </c>
      <c r="O5841" s="12" t="n">
        <v>1</v>
      </c>
      <c r="P5841" s="12" t="n"/>
      <c r="Q5841" s="12" t="n"/>
      <c r="R5841" s="12" t="n"/>
      <c r="S5841" s="12" t="inlineStr">
        <is>
          <t>Tray / conduit</t>
        </is>
      </c>
      <c r="T5841" s="15" t="n">
        <v>80</v>
      </c>
      <c r="U5841" s="15" t="n">
        <v>10</v>
      </c>
      <c r="V5841" s="15">
        <f>ROUNDUP((T5841+U5841+2*'Read Me'!$B$13)*(1+'Read Me'!$B$12),-1)</f>
        <v/>
      </c>
      <c r="W5841" s="15">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K-C-0086</t>
        </is>
      </c>
      <c r="B5842" s="12" t="inlineStr">
        <is>
          <t>K</t>
        </is>
      </c>
      <c r="C5842" s="12" t="inlineStr">
        <is>
          <t>Fuel supply (adjacent market)</t>
        </is>
      </c>
      <c r="D5842" s="12" t="inlineStr">
        <is>
          <t>Home run JB-LNG 10: truck unlo-SOL01 to the control / marshalling room</t>
        </is>
      </c>
      <c r="E5842" s="12" t="inlineStr"/>
      <c r="F5842" s="12" t="inlineStr">
        <is>
          <t>LNG 17: LNG e-house (13.8 kV / 480 V)</t>
        </is>
      </c>
      <c r="G5842" s="12" t="inlineStr">
        <is>
          <t>JB-LNG 10: truck unlo-SOL01</t>
        </is>
      </c>
      <c r="H5842" s="12" t="inlineStr">
        <is>
          <t>LNG 10: truck unloading bay 1</t>
        </is>
      </c>
      <c r="I5842" s="12" t="inlineStr">
        <is>
          <t>Control</t>
        </is>
      </c>
      <c r="J5842" s="12" t="inlineStr">
        <is>
          <t>ARMOR-X MC-HL 600 V control, Cu #14 AWG (Class I Div 2)</t>
        </is>
      </c>
      <c r="K5842" s="12" t="inlineStr">
        <is>
          <t>CTAX|25/C|14</t>
        </is>
      </c>
      <c r="L5842" s="12" t="inlineStr">
        <is>
          <t>25/C</t>
        </is>
      </c>
      <c r="M5842" s="12" t="inlineStr">
        <is>
          <t>14</t>
        </is>
      </c>
      <c r="N5842" s="12" t="n">
        <v>1</v>
      </c>
      <c r="O5842" s="12" t="n">
        <v>1</v>
      </c>
      <c r="P5842" s="12" t="n"/>
      <c r="Q5842" s="12" t="n"/>
      <c r="R5842" s="12" t="n"/>
      <c r="S5842" s="12" t="inlineStr">
        <is>
          <t>Duct bank</t>
        </is>
      </c>
      <c r="T5842" s="15" t="n">
        <v>237</v>
      </c>
      <c r="U5842" s="15" t="n">
        <v>61</v>
      </c>
      <c r="V5842" s="15">
        <f>ROUNDUP((T5842+U5842+2*'Read Me'!$B$13)*(1+'Read Me'!$B$12),-1)</f>
        <v/>
      </c>
      <c r="W5842" s="15">
        <f>V5842*N5842*O5842</f>
        <v/>
      </c>
      <c r="X5842" s="12">
        <f>IF(LEFT(I5842,2)="MV",2*N5842*IF(L5842="1/C",O5842,1),0)</f>
        <v/>
      </c>
      <c r="Y5842" s="12">
        <f>IF(OR(LEFT(K5842,4)="LVAX",LEFT(K5842,6)="MV15AX",LEFT(K5842,4)="CTAX",LEFT(K5842,2)="W|"),2*N5842*O5842,0)</f>
        <v/>
      </c>
      <c r="Z5842" s="12" t="inlineStr"/>
      <c r="AA5842" s="12">
        <f>N5842*O5842</f>
        <v/>
      </c>
    </row>
    <row r="5843">
      <c r="A5843" s="12" t="inlineStr">
        <is>
          <t>K-C-0087</t>
        </is>
      </c>
      <c r="B5843" s="12" t="inlineStr">
        <is>
          <t>K</t>
        </is>
      </c>
      <c r="C5843" s="12" t="inlineStr">
        <is>
          <t>Fuel supply (adjacent market)</t>
        </is>
      </c>
      <c r="D5843" s="12" t="inlineStr">
        <is>
          <t>Motor 1 of 1: control / local station</t>
        </is>
      </c>
      <c r="E5843" s="12" t="inlineStr"/>
      <c r="F5843" s="12" t="inlineStr">
        <is>
          <t>LNG 17: LNG e-house (13.8 kV / 480 V)</t>
        </is>
      </c>
      <c r="G5843" s="12" t="inlineStr"/>
      <c r="H5843" s="12" t="inlineStr">
        <is>
          <t>LNG 10: truck unloading bay 2</t>
        </is>
      </c>
      <c r="I5843" s="12" t="inlineStr">
        <is>
          <t>Control</t>
        </is>
      </c>
      <c r="J5843" s="12" t="inlineStr">
        <is>
          <t>ARMOR-X MC-HL 600 V control, Cu #14 AWG (Class I Div 2)</t>
        </is>
      </c>
      <c r="K5843" s="12" t="inlineStr">
        <is>
          <t>CTAX|7/C|14</t>
        </is>
      </c>
      <c r="L5843" s="12" t="inlineStr">
        <is>
          <t>7/C</t>
        </is>
      </c>
      <c r="M5843" s="12" t="inlineStr">
        <is>
          <t>14</t>
        </is>
      </c>
      <c r="N5843" s="12" t="n">
        <v>1</v>
      </c>
      <c r="O5843" s="12" t="n">
        <v>1</v>
      </c>
      <c r="P5843" s="12" t="n"/>
      <c r="Q5843" s="12" t="n"/>
      <c r="R5843" s="12" t="n"/>
      <c r="S5843" s="12" t="inlineStr">
        <is>
          <t>Duct bank</t>
        </is>
      </c>
      <c r="T5843" s="15" t="n">
        <v>147</v>
      </c>
      <c r="U5843" s="15" t="n">
        <v>66</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K-C-0088</t>
        </is>
      </c>
      <c r="B5844" s="12" t="inlineStr">
        <is>
          <t>K</t>
        </is>
      </c>
      <c r="C5844" s="12" t="inlineStr">
        <is>
          <t>Fuel supply (adjacent market)</t>
        </is>
      </c>
      <c r="D5844" s="12" t="inlineStr">
        <is>
          <t>Solenoid to JB JB-LNG 10: truck unlo-SOL01: 2 x 2/C (field cables)</t>
        </is>
      </c>
      <c r="E5844" s="12" t="inlineStr"/>
      <c r="F5844" s="12" t="inlineStr">
        <is>
          <t>LNG 10: truck unloading bay 2</t>
        </is>
      </c>
      <c r="G5844" s="12" t="inlineStr">
        <is>
          <t>JB-LNG 10: truck unlo-SOL01</t>
        </is>
      </c>
      <c r="H5844" s="12" t="inlineStr">
        <is>
          <t>LNG 10: truck unloading bay 2</t>
        </is>
      </c>
      <c r="I5844" s="12" t="inlineStr">
        <is>
          <t>Control</t>
        </is>
      </c>
      <c r="J5844" s="12" t="inlineStr">
        <is>
          <t>ARMOR-X MC-HL 600 V control, Cu #14 AWG (Class I Div 2)</t>
        </is>
      </c>
      <c r="K5844" s="12" t="inlineStr">
        <is>
          <t>CTAX|2/C|14</t>
        </is>
      </c>
      <c r="L5844" s="12" t="inlineStr">
        <is>
          <t>2/C</t>
        </is>
      </c>
      <c r="M5844" s="12" t="inlineStr">
        <is>
          <t>14</t>
        </is>
      </c>
      <c r="N5844" s="12" t="n">
        <v>2</v>
      </c>
      <c r="O5844" s="12" t="n">
        <v>1</v>
      </c>
      <c r="P5844" s="12" t="n"/>
      <c r="Q5844" s="12" t="n"/>
      <c r="R5844" s="12" t="n"/>
      <c r="S5844" s="12" t="inlineStr">
        <is>
          <t>Tray / conduit</t>
        </is>
      </c>
      <c r="T5844" s="15" t="n">
        <v>80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K-C-0089</t>
        </is>
      </c>
      <c r="B5845" s="12" t="inlineStr">
        <is>
          <t>K</t>
        </is>
      </c>
      <c r="C5845" s="12" t="inlineStr">
        <is>
          <t>Fuel supply (adjacent market)</t>
        </is>
      </c>
      <c r="D5845" s="12" t="inlineStr">
        <is>
          <t>Home run JB-LNG 10: truck unlo-SOL01 to the control / marshalling room</t>
        </is>
      </c>
      <c r="E5845" s="12" t="inlineStr"/>
      <c r="F5845" s="12" t="inlineStr">
        <is>
          <t>LNG 17: LNG e-house (13.8 kV / 480 V)</t>
        </is>
      </c>
      <c r="G5845" s="12" t="inlineStr">
        <is>
          <t>JB-LNG 10: truck unlo-SOL01</t>
        </is>
      </c>
      <c r="H5845" s="12" t="inlineStr">
        <is>
          <t>LNG 10: truck unloading bay 2</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147</v>
      </c>
      <c r="U5845" s="15" t="n">
        <v>66</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K-C-0090</t>
        </is>
      </c>
      <c r="B5846" s="12" t="inlineStr">
        <is>
          <t>K</t>
        </is>
      </c>
      <c r="C5846" s="12" t="inlineStr">
        <is>
          <t>Fuel supply (adjacent market)</t>
        </is>
      </c>
      <c r="D5846" s="12" t="inlineStr">
        <is>
          <t>Motor 1 of 1: control / local station</t>
        </is>
      </c>
      <c r="E5846" s="12" t="inlineStr"/>
      <c r="F5846" s="12" t="inlineStr">
        <is>
          <t>LNG 17: LNG e-house (13.8 kV / 480 V)</t>
        </is>
      </c>
      <c r="G5846" s="12" t="inlineStr"/>
      <c r="H5846" s="12" t="inlineStr">
        <is>
          <t>LNG 10: unloading skid</t>
        </is>
      </c>
      <c r="I5846" s="12" t="inlineStr">
        <is>
          <t>Control</t>
        </is>
      </c>
      <c r="J5846" s="12" t="inlineStr">
        <is>
          <t>ARMOR-X MC-HL 600 V control, Cu #14 AWG (Class I Div 2)</t>
        </is>
      </c>
      <c r="K5846" s="12" t="inlineStr">
        <is>
          <t>CTAX|7/C|14</t>
        </is>
      </c>
      <c r="L5846" s="12" t="inlineStr">
        <is>
          <t>7/C</t>
        </is>
      </c>
      <c r="M5846" s="12" t="inlineStr">
        <is>
          <t>14</t>
        </is>
      </c>
      <c r="N5846" s="12" t="n">
        <v>1</v>
      </c>
      <c r="O5846" s="12" t="n">
        <v>1</v>
      </c>
      <c r="P5846" s="12" t="n"/>
      <c r="Q5846" s="12" t="n"/>
      <c r="R5846" s="12" t="n"/>
      <c r="S5846" s="12" t="inlineStr">
        <is>
          <t>Duct bank</t>
        </is>
      </c>
      <c r="T5846" s="15" t="n">
        <v>237</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K-C-0091</t>
        </is>
      </c>
      <c r="B5847" s="12" t="inlineStr">
        <is>
          <t>K</t>
        </is>
      </c>
      <c r="C5847" s="12" t="inlineStr">
        <is>
          <t>Fuel supply (adjacent market)</t>
        </is>
      </c>
      <c r="D5847" s="12" t="inlineStr">
        <is>
          <t>Solenoid to JB JB-LNG 10: unloading -SOL01: 2 x 2/C (field cables)</t>
        </is>
      </c>
      <c r="E5847" s="12" t="inlineStr"/>
      <c r="F5847" s="12" t="inlineStr">
        <is>
          <t>LNG 10: unloading skid</t>
        </is>
      </c>
      <c r="G5847" s="12" t="inlineStr">
        <is>
          <t>JB-LNG 10: unloading -SOL01</t>
        </is>
      </c>
      <c r="H5847" s="12" t="inlineStr">
        <is>
          <t>LNG 10: unloading skid</t>
        </is>
      </c>
      <c r="I5847" s="12" t="inlineStr">
        <is>
          <t>Control</t>
        </is>
      </c>
      <c r="J5847" s="12" t="inlineStr">
        <is>
          <t>ARMOR-X MC-HL 600 V control, Cu #14 AWG (Class I Div 2)</t>
        </is>
      </c>
      <c r="K5847" s="12" t="inlineStr">
        <is>
          <t>CTAX|2/C|14</t>
        </is>
      </c>
      <c r="L5847" s="12" t="inlineStr">
        <is>
          <t>2/C</t>
        </is>
      </c>
      <c r="M5847" s="12" t="inlineStr">
        <is>
          <t>14</t>
        </is>
      </c>
      <c r="N5847" s="12" t="n">
        <v>2</v>
      </c>
      <c r="O5847" s="12" t="n">
        <v>1</v>
      </c>
      <c r="P5847" s="12" t="n"/>
      <c r="Q5847" s="12" t="n"/>
      <c r="R5847" s="12" t="n"/>
      <c r="S5847" s="12" t="inlineStr">
        <is>
          <t>Tray / conduit</t>
        </is>
      </c>
      <c r="T5847" s="15" t="n">
        <v>54</v>
      </c>
      <c r="U5847" s="15" t="n">
        <v>10</v>
      </c>
      <c r="V5847" s="15">
        <f>ROUNDUP((T5847+U5847+2*'Read Me'!$B$13)*(1+'Read Me'!$B$12),-1)</f>
        <v/>
      </c>
      <c r="W5847" s="15">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K-C-0092</t>
        </is>
      </c>
      <c r="B5848" s="12" t="inlineStr">
        <is>
          <t>K</t>
        </is>
      </c>
      <c r="C5848" s="12" t="inlineStr">
        <is>
          <t>Fuel supply (adjacent market)</t>
        </is>
      </c>
      <c r="D5848" s="12" t="inlineStr">
        <is>
          <t>Home run JB-LNG 10: unloading -SOL01 to the control / marshalling room</t>
        </is>
      </c>
      <c r="E5848" s="12" t="inlineStr"/>
      <c r="F5848" s="12" t="inlineStr">
        <is>
          <t>LNG 17: LNG e-house (13.8 kV / 480 V)</t>
        </is>
      </c>
      <c r="G5848" s="12" t="inlineStr">
        <is>
          <t>JB-LNG 10: unloading -SOL01</t>
        </is>
      </c>
      <c r="H5848" s="12" t="inlineStr">
        <is>
          <t>LNG 10: unloading skid</t>
        </is>
      </c>
      <c r="I5848" s="12" t="inlineStr">
        <is>
          <t>Control</t>
        </is>
      </c>
      <c r="J5848" s="12" t="inlineStr">
        <is>
          <t>ARMOR-X MC-HL 600 V control, Cu #14 AWG (Class I Div 2)</t>
        </is>
      </c>
      <c r="K5848" s="12" t="inlineStr">
        <is>
          <t>CTAX|25/C|14</t>
        </is>
      </c>
      <c r="L5848" s="12" t="inlineStr">
        <is>
          <t>25/C</t>
        </is>
      </c>
      <c r="M5848" s="12" t="inlineStr">
        <is>
          <t>14</t>
        </is>
      </c>
      <c r="N5848" s="12" t="n">
        <v>1</v>
      </c>
      <c r="O5848" s="12" t="n">
        <v>1</v>
      </c>
      <c r="P5848" s="12" t="n"/>
      <c r="Q5848" s="12" t="n"/>
      <c r="R5848" s="12" t="n"/>
      <c r="S5848" s="12" t="inlineStr">
        <is>
          <t>Duct bank</t>
        </is>
      </c>
      <c r="T5848" s="15" t="n">
        <v>237</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K-C-0093</t>
        </is>
      </c>
      <c r="B5849" s="12" t="inlineStr">
        <is>
          <t>K</t>
        </is>
      </c>
      <c r="C5849" s="12" t="inlineStr">
        <is>
          <t>Fuel supply (adjacent market)</t>
        </is>
      </c>
      <c r="D5849" s="12" t="inlineStr">
        <is>
          <t>Motor 1 of 1: control / local station</t>
        </is>
      </c>
      <c r="E5849" s="12" t="inlineStr"/>
      <c r="F5849" s="12" t="inlineStr">
        <is>
          <t>LNG 17: LNG e-house (13.8 kV / 480 V)</t>
        </is>
      </c>
      <c r="G5849" s="12" t="inlineStr"/>
      <c r="H5849" s="12" t="inlineStr">
        <is>
          <t>LNG 12: spill impoundment (NFPA 59A, to verify)</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230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K-C-0094</t>
        </is>
      </c>
      <c r="B5850" s="12" t="inlineStr">
        <is>
          <t>K</t>
        </is>
      </c>
      <c r="C5850" s="12" t="inlineStr">
        <is>
          <t>Fuel supply (adjacent market)</t>
        </is>
      </c>
      <c r="D5850" s="12" t="inlineStr">
        <is>
          <t>Solenoid to JB JB-LNG 12: spill impo-SOL01: 2 x 2/C (field cables)</t>
        </is>
      </c>
      <c r="E5850" s="12" t="inlineStr"/>
      <c r="F5850" s="12" t="inlineStr">
        <is>
          <t>LNG 12: spill impoundment (NFPA 59A, to verify)</t>
        </is>
      </c>
      <c r="G5850" s="12" t="inlineStr">
        <is>
          <t>JB-LNG 12: spill impo-SOL01</t>
        </is>
      </c>
      <c r="H5850" s="12" t="inlineStr">
        <is>
          <t>LNG 12: spill impoundment (NFPA 59A, to verify)</t>
        </is>
      </c>
      <c r="I5850" s="12" t="inlineStr">
        <is>
          <t>Control</t>
        </is>
      </c>
      <c r="J5850" s="12" t="inlineStr">
        <is>
          <t>ARMOR-X MC-HL 600 V control, Cu #14 AWG (Class I Div 2)</t>
        </is>
      </c>
      <c r="K5850" s="12" t="inlineStr">
        <is>
          <t>CTAX|2/C|14</t>
        </is>
      </c>
      <c r="L5850" s="12" t="inlineStr">
        <is>
          <t>2/C</t>
        </is>
      </c>
      <c r="M5850" s="12" t="inlineStr">
        <is>
          <t>14</t>
        </is>
      </c>
      <c r="N5850" s="12" t="n">
        <v>2</v>
      </c>
      <c r="O5850" s="12" t="n">
        <v>1</v>
      </c>
      <c r="P5850" s="12" t="n"/>
      <c r="Q5850" s="12" t="n"/>
      <c r="R5850" s="12" t="n"/>
      <c r="S5850" s="12" t="inlineStr">
        <is>
          <t>Tray / conduit</t>
        </is>
      </c>
      <c r="T5850" s="15" t="n">
        <v>170</v>
      </c>
      <c r="U5850" s="15" t="n">
        <v>10</v>
      </c>
      <c r="V5850" s="15">
        <f>ROUNDUP((T5850+U5850+2*'Read Me'!$B$13)*(1+'Read Me'!$B$12),-1)</f>
        <v/>
      </c>
      <c r="W5850" s="15">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K-C-0095</t>
        </is>
      </c>
      <c r="B5851" s="12" t="inlineStr">
        <is>
          <t>K</t>
        </is>
      </c>
      <c r="C5851" s="12" t="inlineStr">
        <is>
          <t>Fuel supply (adjacent market)</t>
        </is>
      </c>
      <c r="D5851" s="12" t="inlineStr">
        <is>
          <t>Home run JB-LNG 12: spill impo-SOL01 to the control / marshalling room</t>
        </is>
      </c>
      <c r="E5851" s="12" t="inlineStr"/>
      <c r="F5851" s="12" t="inlineStr">
        <is>
          <t>LNG 17: LNG e-house (13.8 kV / 480 V)</t>
        </is>
      </c>
      <c r="G5851" s="12" t="inlineStr">
        <is>
          <t>JB-LNG 12: spill impo-SOL01</t>
        </is>
      </c>
      <c r="H5851" s="12" t="inlineStr">
        <is>
          <t>LNG 12: spill impoundment (NFPA 59A, to verify)</t>
        </is>
      </c>
      <c r="I5851" s="12" t="inlineStr">
        <is>
          <t>Control</t>
        </is>
      </c>
      <c r="J5851" s="12" t="inlineStr">
        <is>
          <t>ARMOR-X MC-HL 600 V control, Cu #14 AWG (Class I Div 2)</t>
        </is>
      </c>
      <c r="K5851" s="12" t="inlineStr">
        <is>
          <t>CTAX|25/C|14</t>
        </is>
      </c>
      <c r="L5851" s="12" t="inlineStr">
        <is>
          <t>25/C</t>
        </is>
      </c>
      <c r="M5851" s="12" t="inlineStr">
        <is>
          <t>14</t>
        </is>
      </c>
      <c r="N5851" s="12" t="n">
        <v>1</v>
      </c>
      <c r="O5851" s="12" t="n">
        <v>1</v>
      </c>
      <c r="P5851" s="12" t="n"/>
      <c r="Q5851" s="12" t="n"/>
      <c r="R5851" s="12" t="n"/>
      <c r="S5851" s="12" t="inlineStr">
        <is>
          <t>Duct bank</t>
        </is>
      </c>
      <c r="T5851" s="15" t="n">
        <v>230</v>
      </c>
      <c r="U5851" s="15" t="n">
        <v>32</v>
      </c>
      <c r="V5851" s="15">
        <f>ROUNDUP((T5851+U5851+2*'Read Me'!$B$13)*(1+'Read Me'!$B$12),-1)</f>
        <v/>
      </c>
      <c r="W5851" s="15">
        <f>V5851*N5851*O5851</f>
        <v/>
      </c>
      <c r="X5851" s="12">
        <f>IF(LEFT(I5851,2)="MV",2*N5851*IF(L5851="1/C",O5851,1),0)</f>
        <v/>
      </c>
      <c r="Y5851" s="12">
        <f>IF(OR(LEFT(K5851,4)="LVAX",LEFT(K5851,6)="MV15AX",LEFT(K5851,4)="CTAX",LEFT(K5851,2)="W|"),2*N5851*O5851,0)</f>
        <v/>
      </c>
      <c r="Z5851" s="12" t="inlineStr"/>
      <c r="AA5851" s="12">
        <f>N5851*O5851</f>
        <v/>
      </c>
    </row>
    <row r="5852">
      <c r="A5852" s="12" t="inlineStr">
        <is>
          <t>K-C-0096</t>
        </is>
      </c>
      <c r="B5852" s="12" t="inlineStr">
        <is>
          <t>K</t>
        </is>
      </c>
      <c r="C5852" s="12" t="inlineStr">
        <is>
          <t>Fuel supply (adjacent market)</t>
        </is>
      </c>
      <c r="D5852" s="12" t="inlineStr">
        <is>
          <t>Motor 1 of 1: control / local station</t>
        </is>
      </c>
      <c r="E5852" s="12" t="inlineStr"/>
      <c r="F5852" s="12" t="inlineStr">
        <is>
          <t>LNG 17: LNG e-house (13.8 kV / 480 V)</t>
        </is>
      </c>
      <c r="G5852" s="12" t="inlineStr"/>
      <c r="H5852" s="12" t="inlineStr">
        <is>
          <t>LNG 13: send-out pumps 2 x 100%</t>
        </is>
      </c>
      <c r="I5852" s="12" t="inlineStr">
        <is>
          <t>Control</t>
        </is>
      </c>
      <c r="J5852" s="12" t="inlineStr">
        <is>
          <t>ARMOR-X MC-HL 600 V control, Cu #14 AWG (Class I Div 2)</t>
        </is>
      </c>
      <c r="K5852" s="12" t="inlineStr">
        <is>
          <t>CTAX|7/C|14</t>
        </is>
      </c>
      <c r="L5852" s="12" t="inlineStr">
        <is>
          <t>7/C</t>
        </is>
      </c>
      <c r="M5852" s="12" t="inlineStr">
        <is>
          <t>14</t>
        </is>
      </c>
      <c r="N5852" s="12" t="n">
        <v>1</v>
      </c>
      <c r="O5852" s="12" t="n">
        <v>1</v>
      </c>
      <c r="P5852" s="12" t="n"/>
      <c r="Q5852" s="12" t="n"/>
      <c r="R5852" s="12" t="n"/>
      <c r="S5852" s="12" t="inlineStr">
        <is>
          <t>Duct bank</t>
        </is>
      </c>
      <c r="T5852" s="15" t="n">
        <v>110</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K-C-0097</t>
        </is>
      </c>
      <c r="B5853" s="12" t="inlineStr">
        <is>
          <t>K</t>
        </is>
      </c>
      <c r="C5853" s="12" t="inlineStr">
        <is>
          <t>Fuel supply (adjacent market)</t>
        </is>
      </c>
      <c r="D5853" s="12" t="inlineStr">
        <is>
          <t>Solenoid to JB JB-LNG 13: send-out p-SOL01: 2 x 2/C (field cables)</t>
        </is>
      </c>
      <c r="E5853" s="12" t="inlineStr"/>
      <c r="F5853" s="12" t="inlineStr">
        <is>
          <t>LNG 13: send-out pumps 2 x 100%</t>
        </is>
      </c>
      <c r="G5853" s="12" t="inlineStr">
        <is>
          <t>JB-LNG 13: send-out p-SOL01</t>
        </is>
      </c>
      <c r="H5853" s="12" t="inlineStr">
        <is>
          <t>LNG 13: send-out pumps 2 x 100%</t>
        </is>
      </c>
      <c r="I5853" s="12" t="inlineStr">
        <is>
          <t>Control</t>
        </is>
      </c>
      <c r="J5853" s="12" t="inlineStr">
        <is>
          <t>ARMOR-X MC-HL 600 V control, Cu #14 AWG (Class I Div 2)</t>
        </is>
      </c>
      <c r="K5853" s="12" t="inlineStr">
        <is>
          <t>CTAX|2/C|14</t>
        </is>
      </c>
      <c r="L5853" s="12" t="inlineStr">
        <is>
          <t>2/C</t>
        </is>
      </c>
      <c r="M5853" s="12" t="inlineStr">
        <is>
          <t>14</t>
        </is>
      </c>
      <c r="N5853" s="12" t="n">
        <v>2</v>
      </c>
      <c r="O5853" s="12" t="n">
        <v>1</v>
      </c>
      <c r="P5853" s="12" t="n"/>
      <c r="Q5853" s="12" t="n"/>
      <c r="R5853" s="12" t="n"/>
      <c r="S5853" s="12" t="inlineStr">
        <is>
          <t>Tray / conduit</t>
        </is>
      </c>
      <c r="T5853" s="15" t="n">
        <v>63</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K-C-0098</t>
        </is>
      </c>
      <c r="B5854" s="12" t="inlineStr">
        <is>
          <t>K</t>
        </is>
      </c>
      <c r="C5854" s="12" t="inlineStr">
        <is>
          <t>Fuel supply (adjacent market)</t>
        </is>
      </c>
      <c r="D5854" s="12" t="inlineStr">
        <is>
          <t>Home run JB-LNG 13: send-out p-SOL01 to the control / marshalling room</t>
        </is>
      </c>
      <c r="E5854" s="12" t="inlineStr"/>
      <c r="F5854" s="12" t="inlineStr">
        <is>
          <t>LNG 17: LNG e-house (13.8 kV / 480 V)</t>
        </is>
      </c>
      <c r="G5854" s="12" t="inlineStr">
        <is>
          <t>JB-LNG 13: send-out p-SOL01</t>
        </is>
      </c>
      <c r="H5854" s="12" t="inlineStr">
        <is>
          <t>LNG 13: send-out pumps 2 x 100%</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110</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K-C-0099</t>
        </is>
      </c>
      <c r="B5855" s="12" t="inlineStr">
        <is>
          <t>K</t>
        </is>
      </c>
      <c r="C5855" s="12" t="inlineStr">
        <is>
          <t>Fuel supply (adjacent market)</t>
        </is>
      </c>
      <c r="D5855" s="12" t="inlineStr">
        <is>
          <t>Motor 1 of 1: control / local station</t>
        </is>
      </c>
      <c r="E5855" s="12" t="inlineStr"/>
      <c r="F5855" s="12" t="inlineStr">
        <is>
          <t>LNG 17: LNG e-house (13.8 kV / 480 V)</t>
        </is>
      </c>
      <c r="G5855" s="12" t="inlineStr"/>
      <c r="H5855" s="12" t="inlineStr">
        <is>
          <t>LNG 14: vaporizers + glycol heater</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259</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K-C-0100</t>
        </is>
      </c>
      <c r="B5856" s="12" t="inlineStr">
        <is>
          <t>K</t>
        </is>
      </c>
      <c r="C5856" s="12" t="inlineStr">
        <is>
          <t>Fuel supply (adjacent market)</t>
        </is>
      </c>
      <c r="D5856" s="12" t="inlineStr">
        <is>
          <t>Solenoid to JB JB-LNG 14: vaporizers-SOL01: 2 x 2/C (field cables)</t>
        </is>
      </c>
      <c r="E5856" s="12" t="inlineStr"/>
      <c r="F5856" s="12" t="inlineStr">
        <is>
          <t>LNG 14: vaporizers + glycol heater</t>
        </is>
      </c>
      <c r="G5856" s="12" t="inlineStr">
        <is>
          <t>JB-LNG 14: vaporizers-SOL01</t>
        </is>
      </c>
      <c r="H5856" s="12" t="inlineStr">
        <is>
          <t>LNG 14: vaporizers + glycol heater</t>
        </is>
      </c>
      <c r="I5856" s="12" t="inlineStr">
        <is>
          <t>Control</t>
        </is>
      </c>
      <c r="J5856" s="12" t="inlineStr">
        <is>
          <t>ARMOR-X MC-HL 600 V control, Cu #14 AWG (Class I Div 2)</t>
        </is>
      </c>
      <c r="K5856" s="12" t="inlineStr">
        <is>
          <t>CTAX|2/C|14</t>
        </is>
      </c>
      <c r="L5856" s="12" t="inlineStr">
        <is>
          <t>2/C</t>
        </is>
      </c>
      <c r="M5856" s="12" t="inlineStr">
        <is>
          <t>14</t>
        </is>
      </c>
      <c r="N5856" s="12" t="n">
        <v>2</v>
      </c>
      <c r="O5856" s="12" t="n">
        <v>1</v>
      </c>
      <c r="P5856" s="12" t="n"/>
      <c r="Q5856" s="12" t="n"/>
      <c r="R5856" s="12" t="n"/>
      <c r="S5856" s="12" t="inlineStr">
        <is>
          <t>Tray / conduit</t>
        </is>
      </c>
      <c r="T5856" s="15" t="n">
        <v>122</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K-C-0101</t>
        </is>
      </c>
      <c r="B5857" s="12" t="inlineStr">
        <is>
          <t>K</t>
        </is>
      </c>
      <c r="C5857" s="12" t="inlineStr">
        <is>
          <t>Fuel supply (adjacent market)</t>
        </is>
      </c>
      <c r="D5857" s="12" t="inlineStr">
        <is>
          <t>Home run JB-LNG 14: vaporizers-SOL01 to the control / marshalling room</t>
        </is>
      </c>
      <c r="E5857" s="12" t="inlineStr"/>
      <c r="F5857" s="12" t="inlineStr">
        <is>
          <t>LNG 17: LNG e-house (13.8 kV / 480 V)</t>
        </is>
      </c>
      <c r="G5857" s="12" t="inlineStr">
        <is>
          <t>JB-LNG 14: vaporizers-SOL01</t>
        </is>
      </c>
      <c r="H5857" s="12" t="inlineStr">
        <is>
          <t>LNG 14: vaporizers + glycol heater</t>
        </is>
      </c>
      <c r="I5857" s="12" t="inlineStr">
        <is>
          <t>Control</t>
        </is>
      </c>
      <c r="J5857" s="12" t="inlineStr">
        <is>
          <t>ARMOR-X MC-HL 600 V control, Cu #14 AWG (Class I Div 2)</t>
        </is>
      </c>
      <c r="K5857" s="12" t="inlineStr">
        <is>
          <t>CTAX|25/C|14</t>
        </is>
      </c>
      <c r="L5857" s="12" t="inlineStr">
        <is>
          <t>25/C</t>
        </is>
      </c>
      <c r="M5857" s="12" t="inlineStr">
        <is>
          <t>14</t>
        </is>
      </c>
      <c r="N5857" s="12" t="n">
        <v>1</v>
      </c>
      <c r="O5857" s="12" t="n">
        <v>1</v>
      </c>
      <c r="P5857" s="12" t="n"/>
      <c r="Q5857" s="12" t="n"/>
      <c r="R5857" s="12" t="n"/>
      <c r="S5857" s="12" t="inlineStr">
        <is>
          <t>Duct bank</t>
        </is>
      </c>
      <c r="T5857" s="15" t="n">
        <v>259</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K-C-0102</t>
        </is>
      </c>
      <c r="B5858" s="12" t="inlineStr">
        <is>
          <t>K</t>
        </is>
      </c>
      <c r="C5858" s="12" t="inlineStr">
        <is>
          <t>Fuel supply (adjacent market)</t>
        </is>
      </c>
      <c r="D5858" s="12" t="inlineStr">
        <is>
          <t>Motor 1 of 1: control / local station</t>
        </is>
      </c>
      <c r="E5858" s="12" t="inlineStr"/>
      <c r="F5858" s="12" t="inlineStr">
        <is>
          <t>LNG 17: LNG e-house (13.8 kV / 480 V)</t>
        </is>
      </c>
      <c r="G5858" s="12" t="inlineStr"/>
      <c r="H5858" s="12" t="inlineStr">
        <is>
          <t>LNG 15: boil-off gas compressor</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25</v>
      </c>
      <c r="U5858" s="15" t="n">
        <v>54</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K-C-0103</t>
        </is>
      </c>
      <c r="B5859" s="12" t="inlineStr">
        <is>
          <t>K</t>
        </is>
      </c>
      <c r="C5859" s="12" t="inlineStr">
        <is>
          <t>Fuel supply (adjacent market)</t>
        </is>
      </c>
      <c r="D5859" s="12" t="inlineStr">
        <is>
          <t>Solenoid to JB JB-LNG 15: boil-off g-SOL01: 2 x 2/C (field cables)</t>
        </is>
      </c>
      <c r="E5859" s="12" t="inlineStr"/>
      <c r="F5859" s="12" t="inlineStr">
        <is>
          <t>LNG 15: boil-off gas compressor</t>
        </is>
      </c>
      <c r="G5859" s="12" t="inlineStr">
        <is>
          <t>JB-LNG 15: boil-off g-SOL01</t>
        </is>
      </c>
      <c r="H5859" s="12" t="inlineStr">
        <is>
          <t>LNG 15: boil-off gas compressor</t>
        </is>
      </c>
      <c r="I5859" s="12" t="inlineStr">
        <is>
          <t>Control</t>
        </is>
      </c>
      <c r="J5859" s="12" t="inlineStr">
        <is>
          <t>ARMOR-X MC-HL 600 V control, Cu #14 AWG (Class I Div 2)</t>
        </is>
      </c>
      <c r="K5859" s="12" t="inlineStr">
        <is>
          <t>CTAX|2/C|14</t>
        </is>
      </c>
      <c r="L5859" s="12" t="inlineStr">
        <is>
          <t>2/C</t>
        </is>
      </c>
      <c r="M5859" s="12" t="inlineStr">
        <is>
          <t>14</t>
        </is>
      </c>
      <c r="N5859" s="12" t="n">
        <v>2</v>
      </c>
      <c r="O5859" s="12" t="n">
        <v>1</v>
      </c>
      <c r="P5859" s="12" t="n"/>
      <c r="Q5859" s="12" t="n"/>
      <c r="R5859" s="12" t="n"/>
      <c r="S5859" s="12" t="inlineStr">
        <is>
          <t>Tray / conduit</t>
        </is>
      </c>
      <c r="T5859" s="15" t="n">
        <v>67</v>
      </c>
      <c r="U5859" s="15" t="n">
        <v>10</v>
      </c>
      <c r="V5859" s="15">
        <f>ROUNDUP((T5859+U5859+2*'Read Me'!$B$13)*(1+'Read Me'!$B$12),-1)</f>
        <v/>
      </c>
      <c r="W5859" s="15">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K-C-0104</t>
        </is>
      </c>
      <c r="B5860" s="12" t="inlineStr">
        <is>
          <t>K</t>
        </is>
      </c>
      <c r="C5860" s="12" t="inlineStr">
        <is>
          <t>Fuel supply (adjacent market)</t>
        </is>
      </c>
      <c r="D5860" s="12" t="inlineStr">
        <is>
          <t>Home run JB-LNG 15: boil-off g-SOL01 to the control / marshalling room</t>
        </is>
      </c>
      <c r="E5860" s="12" t="inlineStr"/>
      <c r="F5860" s="12" t="inlineStr">
        <is>
          <t>LNG 17: LNG e-house (13.8 kV / 480 V)</t>
        </is>
      </c>
      <c r="G5860" s="12" t="inlineStr">
        <is>
          <t>JB-LNG 15: boil-off g-SOL01</t>
        </is>
      </c>
      <c r="H5860" s="12" t="inlineStr">
        <is>
          <t>LNG 15: boil-off gas compressor</t>
        </is>
      </c>
      <c r="I5860" s="12" t="inlineStr">
        <is>
          <t>Control</t>
        </is>
      </c>
      <c r="J5860" s="12" t="inlineStr">
        <is>
          <t>ARMOR-X MC-HL 600 V control, Cu #14 AWG (Class I Div 2)</t>
        </is>
      </c>
      <c r="K5860" s="12" t="inlineStr">
        <is>
          <t>CTAX|25/C|14</t>
        </is>
      </c>
      <c r="L5860" s="12" t="inlineStr">
        <is>
          <t>25/C</t>
        </is>
      </c>
      <c r="M5860" s="12" t="inlineStr">
        <is>
          <t>14</t>
        </is>
      </c>
      <c r="N5860" s="12" t="n">
        <v>1</v>
      </c>
      <c r="O5860" s="12" t="n">
        <v>1</v>
      </c>
      <c r="P5860" s="12" t="n"/>
      <c r="Q5860" s="12" t="n"/>
      <c r="R5860" s="12" t="n"/>
      <c r="S5860" s="12" t="inlineStr">
        <is>
          <t>Duct bank</t>
        </is>
      </c>
      <c r="T5860" s="15" t="n">
        <v>25</v>
      </c>
      <c r="U5860" s="15" t="n">
        <v>54</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K-C-0105</t>
        </is>
      </c>
      <c r="B5861" s="12" t="inlineStr">
        <is>
          <t>K</t>
        </is>
      </c>
      <c r="C5861" s="12" t="inlineStr">
        <is>
          <t>Fuel supply (adjacent market)</t>
        </is>
      </c>
      <c r="D5861" s="12" t="inlineStr">
        <is>
          <t>Motor 1 of 1: control / local station</t>
        </is>
      </c>
      <c r="E5861" s="12" t="inlineStr"/>
      <c r="F5861" s="12" t="inlineStr">
        <is>
          <t>LNG 17: LNG e-house (13.8 kV / 480 V)</t>
        </is>
      </c>
      <c r="G5861" s="12" t="inlineStr"/>
      <c r="H5861" s="12" t="inlineStr">
        <is>
          <t>LNG 16: send-out metering + pressure control</t>
        </is>
      </c>
      <c r="I5861" s="12" t="inlineStr">
        <is>
          <t>Control</t>
        </is>
      </c>
      <c r="J5861" s="12" t="inlineStr">
        <is>
          <t>ARMOR-X MC-HL 600 V control, Cu #14 AWG (Class I Div 2)</t>
        </is>
      </c>
      <c r="K5861" s="12" t="inlineStr">
        <is>
          <t>CTAX|7/C|14</t>
        </is>
      </c>
      <c r="L5861" s="12" t="inlineStr">
        <is>
          <t>7/C</t>
        </is>
      </c>
      <c r="M5861" s="12" t="inlineStr">
        <is>
          <t>14</t>
        </is>
      </c>
      <c r="N5861" s="12" t="n">
        <v>1</v>
      </c>
      <c r="O5861" s="12" t="n">
        <v>1</v>
      </c>
      <c r="P5861" s="12" t="n"/>
      <c r="Q5861" s="12" t="n"/>
      <c r="R5861" s="12" t="n"/>
      <c r="S5861" s="12" t="inlineStr">
        <is>
          <t>Duct bank</t>
        </is>
      </c>
      <c r="T5861" s="15" t="n">
        <v>20</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K-C-0106</t>
        </is>
      </c>
      <c r="B5862" s="12" t="inlineStr">
        <is>
          <t>K</t>
        </is>
      </c>
      <c r="C5862" s="12" t="inlineStr">
        <is>
          <t>Fuel supply (adjacent market)</t>
        </is>
      </c>
      <c r="D5862" s="12" t="inlineStr">
        <is>
          <t>Solenoid to JB JB-LNG 16: send-out m-SOL01: 2 x 2/C (field cables)</t>
        </is>
      </c>
      <c r="E5862" s="12" t="inlineStr"/>
      <c r="F5862" s="12" t="inlineStr">
        <is>
          <t>LNG 16: send-out metering + pressure control</t>
        </is>
      </c>
      <c r="G5862" s="12" t="inlineStr">
        <is>
          <t>JB-LNG 16: send-out m-SOL01</t>
        </is>
      </c>
      <c r="H5862" s="12" t="inlineStr">
        <is>
          <t>LNG 16: send-out metering + pressure control</t>
        </is>
      </c>
      <c r="I5862" s="12" t="inlineStr">
        <is>
          <t>Control</t>
        </is>
      </c>
      <c r="J5862" s="12" t="inlineStr">
        <is>
          <t>ARMOR-X MC-HL 600 V control, Cu #14 AWG (Class I Div 2)</t>
        </is>
      </c>
      <c r="K5862" s="12" t="inlineStr">
        <is>
          <t>CTAX|2/C|14</t>
        </is>
      </c>
      <c r="L5862" s="12" t="inlineStr">
        <is>
          <t>2/C</t>
        </is>
      </c>
      <c r="M5862" s="12" t="inlineStr">
        <is>
          <t>14</t>
        </is>
      </c>
      <c r="N5862" s="12" t="n">
        <v>2</v>
      </c>
      <c r="O5862" s="12" t="n">
        <v>1</v>
      </c>
      <c r="P5862" s="12" t="n"/>
      <c r="Q5862" s="12" t="n"/>
      <c r="R5862" s="12" t="n"/>
      <c r="S5862" s="12" t="inlineStr">
        <is>
          <t>Tray / conduit</t>
        </is>
      </c>
      <c r="T5862" s="15" t="n">
        <v>74</v>
      </c>
      <c r="U5862" s="15" t="n">
        <v>10</v>
      </c>
      <c r="V5862" s="15">
        <f>ROUNDUP((T5862+U5862+2*'Read Me'!$B$13)*(1+'Read Me'!$B$12),-1)</f>
        <v/>
      </c>
      <c r="W5862" s="15">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K-C-0107</t>
        </is>
      </c>
      <c r="B5863" s="12" t="inlineStr">
        <is>
          <t>K</t>
        </is>
      </c>
      <c r="C5863" s="12" t="inlineStr">
        <is>
          <t>Fuel supply (adjacent market)</t>
        </is>
      </c>
      <c r="D5863" s="12" t="inlineStr">
        <is>
          <t>Home run JB-LNG 16: send-out m-SOL01 to the control / marshalling room</t>
        </is>
      </c>
      <c r="E5863" s="12" t="inlineStr"/>
      <c r="F5863" s="12" t="inlineStr">
        <is>
          <t>LNG 17: LNG e-house (13.8 kV / 480 V)</t>
        </is>
      </c>
      <c r="G5863" s="12" t="inlineStr">
        <is>
          <t>JB-LNG 16: send-out m-SOL01</t>
        </is>
      </c>
      <c r="H5863" s="12" t="inlineStr">
        <is>
          <t>LNG 16: send-out metering + pressure control</t>
        </is>
      </c>
      <c r="I5863" s="12" t="inlineStr">
        <is>
          <t>Control</t>
        </is>
      </c>
      <c r="J5863" s="12" t="inlineStr">
        <is>
          <t>ARMOR-X MC-HL 600 V control, Cu #14 AWG (Class I Div 2)</t>
        </is>
      </c>
      <c r="K5863" s="12" t="inlineStr">
        <is>
          <t>CTAX|25/C|14</t>
        </is>
      </c>
      <c r="L5863" s="12" t="inlineStr">
        <is>
          <t>25/C</t>
        </is>
      </c>
      <c r="M5863" s="12" t="inlineStr">
        <is>
          <t>14</t>
        </is>
      </c>
      <c r="N5863" s="12" t="n">
        <v>1</v>
      </c>
      <c r="O5863" s="12" t="n">
        <v>1</v>
      </c>
      <c r="P5863" s="12" t="n"/>
      <c r="Q5863" s="12" t="n"/>
      <c r="R5863" s="12" t="n"/>
      <c r="S5863" s="12" t="inlineStr">
        <is>
          <t>Duct bank</t>
        </is>
      </c>
      <c r="T5863" s="15" t="n">
        <v>20</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K-C-0108</t>
        </is>
      </c>
      <c r="B5864" s="12" t="inlineStr">
        <is>
          <t>K</t>
        </is>
      </c>
      <c r="C5864" s="12" t="inlineStr">
        <is>
          <t>Fuel supply (adjacent market)</t>
        </is>
      </c>
      <c r="D5864" s="12" t="inlineStr">
        <is>
          <t>Motor 1 of 1: control / local station</t>
        </is>
      </c>
      <c r="E5864" s="12" t="inlineStr"/>
      <c r="F5864" s="12" t="inlineStr">
        <is>
          <t>LNG 17: LNG e-house (13.8 kV / 480 V)</t>
        </is>
      </c>
      <c r="G5864" s="12" t="inlineStr"/>
      <c r="H5864" s="12" t="inlineStr">
        <is>
          <t>LNG 17: LNG e-house (13.8 kV / 480 V)</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Tray</t>
        </is>
      </c>
      <c r="T5864" s="15" t="n">
        <v>0</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K-C-0109</t>
        </is>
      </c>
      <c r="B5865" s="12" t="inlineStr">
        <is>
          <t>K</t>
        </is>
      </c>
      <c r="C5865" s="12" t="inlineStr">
        <is>
          <t>Fuel supply (adjacent market)</t>
        </is>
      </c>
      <c r="D5865" s="12" t="inlineStr">
        <is>
          <t>Solenoid to JB JB-LNG 17: LNG e-hous-SOL01: 2 x 2/C (field cables)</t>
        </is>
      </c>
      <c r="E5865" s="12" t="inlineStr"/>
      <c r="F5865" s="12" t="inlineStr">
        <is>
          <t>LNG 17: LNG e-house (13.8 kV / 480 V)</t>
        </is>
      </c>
      <c r="G5865" s="12" t="inlineStr">
        <is>
          <t>JB-LNG 17: LNG e-hous-SOL01</t>
        </is>
      </c>
      <c r="H5865" s="12" t="inlineStr">
        <is>
          <t>LNG 17: LNG e-house (13.8 kV / 480 V)</t>
        </is>
      </c>
      <c r="I5865" s="12" t="inlineStr">
        <is>
          <t>Control</t>
        </is>
      </c>
      <c r="J5865" s="12" t="inlineStr">
        <is>
          <t>ARMOR-X MC-HL 600 V control, Cu #14 AWG (Class I Div 2)</t>
        </is>
      </c>
      <c r="K5865" s="12" t="inlineStr">
        <is>
          <t>CTAX|2/C|14</t>
        </is>
      </c>
      <c r="L5865" s="12" t="inlineStr">
        <is>
          <t>2/C</t>
        </is>
      </c>
      <c r="M5865" s="12" t="inlineStr">
        <is>
          <t>14</t>
        </is>
      </c>
      <c r="N5865" s="12" t="n">
        <v>2</v>
      </c>
      <c r="O5865" s="12" t="n">
        <v>1</v>
      </c>
      <c r="P5865" s="12" t="n"/>
      <c r="Q5865" s="12" t="n"/>
      <c r="R5865" s="12" t="n"/>
      <c r="S5865" s="12" t="inlineStr">
        <is>
          <t>Tray / conduit</t>
        </is>
      </c>
      <c r="T5865" s="15" t="n">
        <v>58</v>
      </c>
      <c r="U5865" s="15" t="n">
        <v>10</v>
      </c>
      <c r="V5865" s="15">
        <f>ROUNDUP((T5865+U5865+2*'Read Me'!$B$13)*(1+'Read Me'!$B$12),-1)</f>
        <v/>
      </c>
      <c r="W5865" s="15">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K-C-0110</t>
        </is>
      </c>
      <c r="B5866" s="12" t="inlineStr">
        <is>
          <t>K</t>
        </is>
      </c>
      <c r="C5866" s="12" t="inlineStr">
        <is>
          <t>Fuel supply (adjacent market)</t>
        </is>
      </c>
      <c r="D5866" s="12" t="inlineStr">
        <is>
          <t>Home run JB-LNG 17: LNG e-hous-SOL01 to the control / marshalling room</t>
        </is>
      </c>
      <c r="E5866" s="12" t="inlineStr"/>
      <c r="F5866" s="12" t="inlineStr">
        <is>
          <t>LNG 17: LNG e-house (13.8 kV / 480 V)</t>
        </is>
      </c>
      <c r="G5866" s="12" t="inlineStr">
        <is>
          <t>JB-LNG 17: LNG e-hous-SOL01</t>
        </is>
      </c>
      <c r="H5866" s="12" t="inlineStr">
        <is>
          <t>LNG 17: LNG e-house (13.8 kV / 480 V)</t>
        </is>
      </c>
      <c r="I5866" s="12" t="inlineStr">
        <is>
          <t>Control</t>
        </is>
      </c>
      <c r="J5866" s="12" t="inlineStr">
        <is>
          <t>ARMOR-X MC-HL 600 V control, Cu #14 AWG (Class I Div 2)</t>
        </is>
      </c>
      <c r="K5866" s="12" t="inlineStr">
        <is>
          <t>CTAX|25/C|14</t>
        </is>
      </c>
      <c r="L5866" s="12" t="inlineStr">
        <is>
          <t>25/C</t>
        </is>
      </c>
      <c r="M5866" s="12" t="inlineStr">
        <is>
          <t>14</t>
        </is>
      </c>
      <c r="N5866" s="12" t="n">
        <v>1</v>
      </c>
      <c r="O5866" s="12" t="n">
        <v>1</v>
      </c>
      <c r="P5866" s="12" t="n"/>
      <c r="Q5866" s="12" t="n"/>
      <c r="R5866" s="12" t="n"/>
      <c r="S5866" s="12" t="inlineStr">
        <is>
          <t>Tray</t>
        </is>
      </c>
      <c r="T5866" s="15" t="n">
        <v>0</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K-C-0111</t>
        </is>
      </c>
      <c r="B5867" s="12" t="inlineStr">
        <is>
          <t>K</t>
        </is>
      </c>
      <c r="C5867" s="12" t="inlineStr">
        <is>
          <t>Fuel supply (adjacent market)</t>
        </is>
      </c>
      <c r="D5867" s="12" t="inlineStr">
        <is>
          <t>Motor 1 of 1: control / local station</t>
        </is>
      </c>
      <c r="E5867" s="12" t="inlineStr"/>
      <c r="F5867" s="12" t="inlineStr">
        <is>
          <t>LNG 17: LNG e-house (13.8 kV / 480 V)</t>
        </is>
      </c>
      <c r="G5867" s="12" t="inlineStr"/>
      <c r="H5867" s="12" t="inlineStr">
        <is>
          <t>LNG 18: vent stack</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25</v>
      </c>
      <c r="U5867" s="15" t="n">
        <v>117</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K-C-0112</t>
        </is>
      </c>
      <c r="B5868" s="12" t="inlineStr">
        <is>
          <t>K</t>
        </is>
      </c>
      <c r="C5868" s="12" t="inlineStr">
        <is>
          <t>Fuel supply (adjacent market)</t>
        </is>
      </c>
      <c r="D5868" s="12" t="inlineStr">
        <is>
          <t>Solenoid to JB JB-LNG 18: vent stack-SOL01: 2 x 2/C (field cables)</t>
        </is>
      </c>
      <c r="E5868" s="12" t="inlineStr"/>
      <c r="F5868" s="12" t="inlineStr">
        <is>
          <t>LNG 18: vent stack</t>
        </is>
      </c>
      <c r="G5868" s="12" t="inlineStr">
        <is>
          <t>JB-LNG 18: vent stack-SOL01</t>
        </is>
      </c>
      <c r="H5868" s="12" t="inlineStr">
        <is>
          <t>LNG 18: vent stack</t>
        </is>
      </c>
      <c r="I5868" s="12" t="inlineStr">
        <is>
          <t>Control</t>
        </is>
      </c>
      <c r="J5868" s="12" t="inlineStr">
        <is>
          <t>ARMOR-X MC-HL 600 V control, Cu #14 AWG (Class I Div 2)</t>
        </is>
      </c>
      <c r="K5868" s="12" t="inlineStr">
        <is>
          <t>CTAX|2/C|14</t>
        </is>
      </c>
      <c r="L5868" s="12" t="inlineStr">
        <is>
          <t>2/C</t>
        </is>
      </c>
      <c r="M5868" s="12" t="inlineStr">
        <is>
          <t>14</t>
        </is>
      </c>
      <c r="N5868" s="12" t="n">
        <v>2</v>
      </c>
      <c r="O5868" s="12" t="n">
        <v>1</v>
      </c>
      <c r="P5868" s="12" t="n"/>
      <c r="Q5868" s="12" t="n"/>
      <c r="R5868" s="12" t="n"/>
      <c r="S5868" s="12" t="inlineStr">
        <is>
          <t>Tray / conduit</t>
        </is>
      </c>
      <c r="T5868" s="15" t="n">
        <v>55</v>
      </c>
      <c r="U5868" s="15" t="n">
        <v>10</v>
      </c>
      <c r="V5868" s="15">
        <f>ROUNDUP((T5868+U5868+2*'Read Me'!$B$13)*(1+'Read Me'!$B$12),-1)</f>
        <v/>
      </c>
      <c r="W5868" s="15">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K-C-0113</t>
        </is>
      </c>
      <c r="B5869" s="12" t="inlineStr">
        <is>
          <t>K</t>
        </is>
      </c>
      <c r="C5869" s="12" t="inlineStr">
        <is>
          <t>Fuel supply (adjacent market)</t>
        </is>
      </c>
      <c r="D5869" s="12" t="inlineStr">
        <is>
          <t>Home run JB-LNG 18: vent stack-SOL01 to the control / marshalling room</t>
        </is>
      </c>
      <c r="E5869" s="12" t="inlineStr"/>
      <c r="F5869" s="12" t="inlineStr">
        <is>
          <t>LNG 17: LNG e-house (13.8 kV / 480 V)</t>
        </is>
      </c>
      <c r="G5869" s="12" t="inlineStr">
        <is>
          <t>JB-LNG 18: vent stack-SOL01</t>
        </is>
      </c>
      <c r="H5869" s="12" t="inlineStr">
        <is>
          <t>LNG 18: vent stack</t>
        </is>
      </c>
      <c r="I5869" s="12" t="inlineStr">
        <is>
          <t>Control</t>
        </is>
      </c>
      <c r="J5869" s="12" t="inlineStr">
        <is>
          <t>ARMOR-X MC-HL 600 V control, Cu #14 AWG (Class I Div 2)</t>
        </is>
      </c>
      <c r="K5869" s="12" t="inlineStr">
        <is>
          <t>CTAX|25/C|14</t>
        </is>
      </c>
      <c r="L5869" s="12" t="inlineStr">
        <is>
          <t>25/C</t>
        </is>
      </c>
      <c r="M5869" s="12" t="inlineStr">
        <is>
          <t>14</t>
        </is>
      </c>
      <c r="N5869" s="12" t="n">
        <v>1</v>
      </c>
      <c r="O5869" s="12" t="n">
        <v>1</v>
      </c>
      <c r="P5869" s="12" t="n"/>
      <c r="Q5869" s="12" t="n"/>
      <c r="R5869" s="12" t="n"/>
      <c r="S5869" s="12" t="inlineStr">
        <is>
          <t>Duct bank</t>
        </is>
      </c>
      <c r="T5869" s="15" t="n">
        <v>25</v>
      </c>
      <c r="U5869" s="15" t="n">
        <v>117</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K-C-0114</t>
        </is>
      </c>
      <c r="B5870" s="12" t="inlineStr">
        <is>
          <t>K</t>
        </is>
      </c>
      <c r="C5870" s="12" t="inlineStr">
        <is>
          <t>Fuel supply (adjacent market)</t>
        </is>
      </c>
      <c r="D5870" s="12" t="inlineStr">
        <is>
          <t>Solenoid to JB JB-M&amp;R 2: insulating -SOL01: 4 x 2/C (field cables)</t>
        </is>
      </c>
      <c r="E5870" s="12" t="inlineStr"/>
      <c r="F5870" s="12" t="inlineStr">
        <is>
          <t>M&amp;R 2: insulating joint + ESD valve</t>
        </is>
      </c>
      <c r="G5870" s="12" t="inlineStr">
        <is>
          <t>JB-M&amp;R 2: insulating -SOL01</t>
        </is>
      </c>
      <c r="H5870" s="12" t="inlineStr">
        <is>
          <t>M&amp;R 2: insulating joint + ESD valve</t>
        </is>
      </c>
      <c r="I5870" s="12" t="inlineStr">
        <is>
          <t>Control</t>
        </is>
      </c>
      <c r="J5870" s="12" t="inlineStr">
        <is>
          <t>ARMOR-X MC-HL 600 V control, Cu #14 AWG (Class I Div 2)</t>
        </is>
      </c>
      <c r="K5870" s="12" t="inlineStr">
        <is>
          <t>CTAX|2/C|14</t>
        </is>
      </c>
      <c r="L5870" s="12" t="inlineStr">
        <is>
          <t>2/C</t>
        </is>
      </c>
      <c r="M5870" s="12" t="inlineStr">
        <is>
          <t>14</t>
        </is>
      </c>
      <c r="N5870" s="12" t="n">
        <v>4</v>
      </c>
      <c r="O5870" s="12" t="n">
        <v>1</v>
      </c>
      <c r="P5870" s="12" t="n"/>
      <c r="Q5870" s="12" t="n"/>
      <c r="R5870" s="12" t="n"/>
      <c r="S5870" s="12" t="inlineStr">
        <is>
          <t>Tray / conduit</t>
        </is>
      </c>
      <c r="T5870" s="15" t="n">
        <v>40</v>
      </c>
      <c r="U5870" s="15" t="n">
        <v>10</v>
      </c>
      <c r="V5870" s="15">
        <f>ROUNDUP((T5870+U5870+2*'Read Me'!$B$13)*(1+'Read Me'!$B$12),-1)</f>
        <v/>
      </c>
      <c r="W5870" s="15">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K-C-0115</t>
        </is>
      </c>
      <c r="B5871" s="12" t="inlineStr">
        <is>
          <t>K</t>
        </is>
      </c>
      <c r="C5871" s="12" t="inlineStr">
        <is>
          <t>Fuel supply (adjacent market)</t>
        </is>
      </c>
      <c r="D5871" s="12" t="inlineStr">
        <is>
          <t>Home run JB-M&amp;R 2: insulating -SOL01 to the control / marshalling room</t>
        </is>
      </c>
      <c r="E5871" s="12" t="inlineStr"/>
      <c r="F5871" s="12" t="inlineStr">
        <is>
          <t>LNG 17: LNG e-house (13.8 kV / 480 V)</t>
        </is>
      </c>
      <c r="G5871" s="12" t="inlineStr">
        <is>
          <t>JB-M&amp;R 2: insulating -SOL01</t>
        </is>
      </c>
      <c r="H5871" s="12" t="inlineStr">
        <is>
          <t>M&amp;R 2: insulating joint + ESD valve</t>
        </is>
      </c>
      <c r="I5871" s="12" t="inlineStr">
        <is>
          <t>Control</t>
        </is>
      </c>
      <c r="J5871" s="12" t="inlineStr">
        <is>
          <t>ARMOR-X MC-HL 600 V control, Cu #14 AWG (Class I Div 2)</t>
        </is>
      </c>
      <c r="K5871" s="12" t="inlineStr">
        <is>
          <t>CTAX|25/C|14</t>
        </is>
      </c>
      <c r="L5871" s="12" t="inlineStr">
        <is>
          <t>25/C</t>
        </is>
      </c>
      <c r="M5871" s="12" t="inlineStr">
        <is>
          <t>14</t>
        </is>
      </c>
      <c r="N5871" s="12" t="n">
        <v>1</v>
      </c>
      <c r="O5871" s="12" t="n">
        <v>1</v>
      </c>
      <c r="P5871" s="12" t="n"/>
      <c r="Q5871" s="12" t="n"/>
      <c r="R5871" s="12" t="n"/>
      <c r="S5871" s="12" t="inlineStr">
        <is>
          <t>Duct bank</t>
        </is>
      </c>
      <c r="T5871" s="15" t="n">
        <v>758</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K-C-0116</t>
        </is>
      </c>
      <c r="B5872" s="12" t="inlineStr">
        <is>
          <t>K</t>
        </is>
      </c>
      <c r="C5872" s="12" t="inlineStr">
        <is>
          <t>Fuel supply (adjacent market)</t>
        </is>
      </c>
      <c r="D5872" s="12" t="inlineStr">
        <is>
          <t>Solenoid to JB JB-M&amp;R 3: horizontal -SOL01: 4 x 2/C (field cables)</t>
        </is>
      </c>
      <c r="E5872" s="12" t="inlineStr"/>
      <c r="F5872" s="12" t="inlineStr">
        <is>
          <t>M&amp;R 3: horizontal filter-separator</t>
        </is>
      </c>
      <c r="G5872" s="12" t="inlineStr">
        <is>
          <t>JB-M&amp;R 3: horizontal -SOL01</t>
        </is>
      </c>
      <c r="H5872" s="12" t="inlineStr">
        <is>
          <t>M&amp;R 3: horizontal filter-separator</t>
        </is>
      </c>
      <c r="I5872" s="12" t="inlineStr">
        <is>
          <t>Control</t>
        </is>
      </c>
      <c r="J5872" s="12" t="inlineStr">
        <is>
          <t>ARMOR-X MC-HL 600 V control, Cu #14 AWG (Class I Div 2)</t>
        </is>
      </c>
      <c r="K5872" s="12" t="inlineStr">
        <is>
          <t>CTAX|2/C|14</t>
        </is>
      </c>
      <c r="L5872" s="12" t="inlineStr">
        <is>
          <t>2/C</t>
        </is>
      </c>
      <c r="M5872" s="12" t="inlineStr">
        <is>
          <t>14</t>
        </is>
      </c>
      <c r="N5872" s="12" t="n">
        <v>4</v>
      </c>
      <c r="O5872" s="12" t="n">
        <v>1</v>
      </c>
      <c r="P5872" s="12" t="n"/>
      <c r="Q5872" s="12" t="n"/>
      <c r="R5872" s="12" t="n"/>
      <c r="S5872" s="12" t="inlineStr">
        <is>
          <t>Tray / conduit</t>
        </is>
      </c>
      <c r="T5872" s="15" t="n">
        <v>53</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K-C-0117</t>
        </is>
      </c>
      <c r="B5873" s="12" t="inlineStr">
        <is>
          <t>K</t>
        </is>
      </c>
      <c r="C5873" s="12" t="inlineStr">
        <is>
          <t>Fuel supply (adjacent market)</t>
        </is>
      </c>
      <c r="D5873" s="12" t="inlineStr">
        <is>
          <t>Home run JB-M&amp;R 3: horizontal -SOL01 to the control / marshalling room</t>
        </is>
      </c>
      <c r="E5873" s="12" t="inlineStr"/>
      <c r="F5873" s="12" t="inlineStr">
        <is>
          <t>LNG 17: LNG e-house (13.8 kV / 480 V)</t>
        </is>
      </c>
      <c r="G5873" s="12" t="inlineStr">
        <is>
          <t>JB-M&amp;R 3: horizontal -SOL01</t>
        </is>
      </c>
      <c r="H5873" s="12" t="inlineStr">
        <is>
          <t>M&amp;R 3: horizontal filter-separator</t>
        </is>
      </c>
      <c r="I5873" s="12" t="inlineStr">
        <is>
          <t>Control</t>
        </is>
      </c>
      <c r="J5873" s="12" t="inlineStr">
        <is>
          <t>ARMOR-X MC-HL 600 V control, Cu #14 AWG (Class I Div 2)</t>
        </is>
      </c>
      <c r="K5873" s="12" t="inlineStr">
        <is>
          <t>CTAX|25/C|14</t>
        </is>
      </c>
      <c r="L5873" s="12" t="inlineStr">
        <is>
          <t>25/C</t>
        </is>
      </c>
      <c r="M5873" s="12" t="inlineStr">
        <is>
          <t>14</t>
        </is>
      </c>
      <c r="N5873" s="12" t="n">
        <v>1</v>
      </c>
      <c r="O5873" s="12" t="n">
        <v>1</v>
      </c>
      <c r="P5873" s="12" t="n"/>
      <c r="Q5873" s="12" t="n"/>
      <c r="R5873" s="12" t="n"/>
      <c r="S5873" s="12" t="inlineStr">
        <is>
          <t>Duct bank</t>
        </is>
      </c>
      <c r="T5873" s="15" t="n">
        <v>797</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K-C-0118</t>
        </is>
      </c>
      <c r="B5874" s="12" t="inlineStr">
        <is>
          <t>K</t>
        </is>
      </c>
      <c r="C5874" s="12" t="inlineStr">
        <is>
          <t>Fuel supply (adjacent market)</t>
        </is>
      </c>
      <c r="D5874" s="12" t="inlineStr">
        <is>
          <t>Control</t>
        </is>
      </c>
      <c r="E5874" s="12" t="inlineStr"/>
      <c r="F5874" s="12" t="inlineStr">
        <is>
          <t>LNG 17: LNG e-house (13.8 kV / 480 V)</t>
        </is>
      </c>
      <c r="G5874" s="12" t="inlineStr"/>
      <c r="H5874" s="12" t="inlineStr">
        <is>
          <t>M&amp;R 4: line heater 1 (water bath)</t>
        </is>
      </c>
      <c r="I5874" s="12" t="inlineStr">
        <is>
          <t>Control</t>
        </is>
      </c>
      <c r="J5874" s="12" t="inlineStr">
        <is>
          <t>ARMOR-X MC-HL 600 V control, Cu #14 AWG (Class I Div 2)</t>
        </is>
      </c>
      <c r="K5874" s="12" t="inlineStr">
        <is>
          <t>CTAX|7/C|14</t>
        </is>
      </c>
      <c r="L5874" s="12" t="inlineStr">
        <is>
          <t>7/C</t>
        </is>
      </c>
      <c r="M5874" s="12" t="inlineStr">
        <is>
          <t>14</t>
        </is>
      </c>
      <c r="N5874" s="12" t="n">
        <v>1</v>
      </c>
      <c r="O5874" s="12" t="n">
        <v>1</v>
      </c>
      <c r="P5874" s="12" t="n"/>
      <c r="Q5874" s="12" t="n"/>
      <c r="R5874" s="12" t="n"/>
      <c r="S5874" s="12" t="inlineStr">
        <is>
          <t>Duct bank</t>
        </is>
      </c>
      <c r="T5874" s="15" t="n">
        <v>593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K-C-0119</t>
        </is>
      </c>
      <c r="B5875" s="12" t="inlineStr">
        <is>
          <t>K</t>
        </is>
      </c>
      <c r="C5875" s="12" t="inlineStr">
        <is>
          <t>Fuel supply (adjacent market)</t>
        </is>
      </c>
      <c r="D5875" s="12" t="inlineStr">
        <is>
          <t>Control</t>
        </is>
      </c>
      <c r="E5875" s="12" t="inlineStr"/>
      <c r="F5875" s="12" t="inlineStr">
        <is>
          <t>LNG 17: LNG e-house (13.8 kV / 480 V)</t>
        </is>
      </c>
      <c r="G5875" s="12" t="inlineStr"/>
      <c r="H5875" s="12" t="inlineStr">
        <is>
          <t>M&amp;R 4: line heater 2 (water bath)</t>
        </is>
      </c>
      <c r="I5875" s="12" t="inlineStr">
        <is>
          <t>Control</t>
        </is>
      </c>
      <c r="J5875" s="12" t="inlineStr">
        <is>
          <t>ARMOR-X MC-HL 600 V control, Cu #14 AWG (Class I Div 2)</t>
        </is>
      </c>
      <c r="K5875" s="12" t="inlineStr">
        <is>
          <t>CTAX|7/C|14</t>
        </is>
      </c>
      <c r="L5875" s="12" t="inlineStr">
        <is>
          <t>7/C</t>
        </is>
      </c>
      <c r="M5875" s="12" t="inlineStr">
        <is>
          <t>14</t>
        </is>
      </c>
      <c r="N5875" s="12" t="n">
        <v>1</v>
      </c>
      <c r="O5875" s="12" t="n">
        <v>1</v>
      </c>
      <c r="P5875" s="12" t="n"/>
      <c r="Q5875" s="12" t="n"/>
      <c r="R5875" s="12" t="n"/>
      <c r="S5875" s="12" t="inlineStr">
        <is>
          <t>Duct bank</t>
        </is>
      </c>
      <c r="T5875" s="15" t="n">
        <v>593</v>
      </c>
      <c r="U5875" s="15" t="n">
        <v>50</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K-C-0120</t>
        </is>
      </c>
      <c r="B5876" s="12" t="inlineStr">
        <is>
          <t>K</t>
        </is>
      </c>
      <c r="C5876" s="12" t="inlineStr">
        <is>
          <t>Fuel supply (adjacent market)</t>
        </is>
      </c>
      <c r="D5876" s="12" t="inlineStr">
        <is>
          <t>Control</t>
        </is>
      </c>
      <c r="E5876" s="12" t="inlineStr"/>
      <c r="F5876" s="12" t="inlineStr">
        <is>
          <t>LNG 17: LNG e-house (13.8 kV / 480 V)</t>
        </is>
      </c>
      <c r="G5876" s="12" t="inlineStr"/>
      <c r="H5876" s="12" t="inlineStr">
        <is>
          <t>M&amp;R 4: line heater 3 (water bath)</t>
        </is>
      </c>
      <c r="I5876" s="12" t="inlineStr">
        <is>
          <t>Control</t>
        </is>
      </c>
      <c r="J5876" s="12" t="inlineStr">
        <is>
          <t>ARMOR-X MC-HL 600 V control, Cu #14 AWG (Class I Div 2)</t>
        </is>
      </c>
      <c r="K5876" s="12" t="inlineStr">
        <is>
          <t>CTAX|7/C|14</t>
        </is>
      </c>
      <c r="L5876" s="12" t="inlineStr">
        <is>
          <t>7/C</t>
        </is>
      </c>
      <c r="M5876" s="12" t="inlineStr">
        <is>
          <t>14</t>
        </is>
      </c>
      <c r="N5876" s="12" t="n">
        <v>1</v>
      </c>
      <c r="O5876" s="12" t="n">
        <v>1</v>
      </c>
      <c r="P5876" s="12" t="n"/>
      <c r="Q5876" s="12" t="n"/>
      <c r="R5876" s="12" t="n"/>
      <c r="S5876" s="12" t="inlineStr">
        <is>
          <t>Duct bank</t>
        </is>
      </c>
      <c r="T5876" s="15" t="n">
        <v>593</v>
      </c>
      <c r="U5876" s="15" t="n">
        <v>68</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K-C-0121</t>
        </is>
      </c>
      <c r="B5877" s="12" t="inlineStr">
        <is>
          <t>K</t>
        </is>
      </c>
      <c r="C5877" s="12" t="inlineStr">
        <is>
          <t>Fuel supply (adjacent market)</t>
        </is>
      </c>
      <c r="D5877" s="12" t="inlineStr">
        <is>
          <t>Solenoid to JB JB-M&amp;R 6: regulation -SOL01: 6 x 2/C (field cables)</t>
        </is>
      </c>
      <c r="E5877" s="12" t="inlineStr"/>
      <c r="F5877" s="12" t="inlineStr">
        <is>
          <t>M&amp;R 6: regulation / flow control building</t>
        </is>
      </c>
      <c r="G5877" s="12" t="inlineStr">
        <is>
          <t>JB-M&amp;R 6: regulation -SOL01</t>
        </is>
      </c>
      <c r="H5877" s="12" t="inlineStr">
        <is>
          <t>M&amp;R 6: regulation / flow control building</t>
        </is>
      </c>
      <c r="I5877" s="12" t="inlineStr">
        <is>
          <t>Control</t>
        </is>
      </c>
      <c r="J5877" s="12" t="inlineStr">
        <is>
          <t>ARMOR-X MC-HL 600 V control, Cu #14 AWG (Class I Div 2)</t>
        </is>
      </c>
      <c r="K5877" s="12" t="inlineStr">
        <is>
          <t>CTAX|2/C|14</t>
        </is>
      </c>
      <c r="L5877" s="12" t="inlineStr">
        <is>
          <t>2/C</t>
        </is>
      </c>
      <c r="M5877" s="12" t="inlineStr">
        <is>
          <t>14</t>
        </is>
      </c>
      <c r="N5877" s="12" t="n">
        <v>6</v>
      </c>
      <c r="O5877" s="12" t="n">
        <v>1</v>
      </c>
      <c r="P5877" s="12" t="n"/>
      <c r="Q5877" s="12" t="n"/>
      <c r="R5877" s="12" t="n"/>
      <c r="S5877" s="12" t="inlineStr">
        <is>
          <t>Tray / conduit</t>
        </is>
      </c>
      <c r="T5877" s="15" t="n">
        <v>61</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K-C-0122</t>
        </is>
      </c>
      <c r="B5878" s="12" t="inlineStr">
        <is>
          <t>K</t>
        </is>
      </c>
      <c r="C5878" s="12" t="inlineStr">
        <is>
          <t>Fuel supply (adjacent market)</t>
        </is>
      </c>
      <c r="D5878" s="12" t="inlineStr">
        <is>
          <t>Home run JB-M&amp;R 6: regulation -SOL01 to the control / marshalling room</t>
        </is>
      </c>
      <c r="E5878" s="12" t="inlineStr"/>
      <c r="F5878" s="12" t="inlineStr">
        <is>
          <t>LNG 17: LNG e-house (13.8 kV / 480 V)</t>
        </is>
      </c>
      <c r="G5878" s="12" t="inlineStr">
        <is>
          <t>JB-M&amp;R 6: regulation -SOL01</t>
        </is>
      </c>
      <c r="H5878" s="12" t="inlineStr">
        <is>
          <t>M&amp;R 6: regulation / flow control building</t>
        </is>
      </c>
      <c r="I5878" s="12" t="inlineStr">
        <is>
          <t>Control</t>
        </is>
      </c>
      <c r="J5878" s="12" t="inlineStr">
        <is>
          <t>ARMOR-X MC-HL 600 V control, Cu #14 AWG (Class I Div 2)</t>
        </is>
      </c>
      <c r="K5878" s="12" t="inlineStr">
        <is>
          <t>CTAX|25/C|14</t>
        </is>
      </c>
      <c r="L5878" s="12" t="inlineStr">
        <is>
          <t>25/C</t>
        </is>
      </c>
      <c r="M5878" s="12" t="inlineStr">
        <is>
          <t>14</t>
        </is>
      </c>
      <c r="N5878" s="12" t="n">
        <v>1</v>
      </c>
      <c r="O5878" s="12" t="n">
        <v>1</v>
      </c>
      <c r="P5878" s="12" t="n"/>
      <c r="Q5878" s="12" t="n"/>
      <c r="R5878" s="12" t="n"/>
      <c r="S5878" s="12" t="inlineStr">
        <is>
          <t>Duct bank</t>
        </is>
      </c>
      <c r="T5878" s="15" t="n">
        <v>470</v>
      </c>
      <c r="U5878" s="15" t="n">
        <v>70</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K-C-0123</t>
        </is>
      </c>
      <c r="B5879" s="12" t="inlineStr">
        <is>
          <t>K</t>
        </is>
      </c>
      <c r="C5879" s="12" t="inlineStr">
        <is>
          <t>Fuel supply (adjacent market)</t>
        </is>
      </c>
      <c r="D5879" s="12" t="inlineStr">
        <is>
          <t>Control</t>
        </is>
      </c>
      <c r="E5879" s="12" t="inlineStr"/>
      <c r="F5879" s="12" t="inlineStr">
        <is>
          <t>LNG 17: LNG e-house (13.8 kV / 480 V)</t>
        </is>
      </c>
      <c r="G5879" s="12" t="inlineStr"/>
      <c r="H5879" s="12" t="inlineStr">
        <is>
          <t>M&amp;R 9: service panel + UPS, SCADA RTU, CP</t>
        </is>
      </c>
      <c r="I5879" s="12" t="inlineStr">
        <is>
          <t>Control</t>
        </is>
      </c>
      <c r="J5879" s="12" t="inlineStr">
        <is>
          <t>ARMOR-X MC-HL 600 V control, Cu #14 AWG (Class I Div 2)</t>
        </is>
      </c>
      <c r="K5879" s="12" t="inlineStr">
        <is>
          <t>CTAX|7/C|14</t>
        </is>
      </c>
      <c r="L5879" s="12" t="inlineStr">
        <is>
          <t>7/C</t>
        </is>
      </c>
      <c r="M5879" s="12" t="inlineStr">
        <is>
          <t>14</t>
        </is>
      </c>
      <c r="N5879" s="12" t="n">
        <v>1</v>
      </c>
      <c r="O5879" s="12" t="n">
        <v>1</v>
      </c>
      <c r="P5879" s="12" t="n"/>
      <c r="Q5879" s="12" t="n"/>
      <c r="R5879" s="12" t="n"/>
      <c r="S5879" s="12" t="inlineStr">
        <is>
          <t>Duct bank</t>
        </is>
      </c>
      <c r="T5879" s="15" t="n">
        <v>466</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K-C-0124</t>
        </is>
      </c>
      <c r="B5880" s="12" t="inlineStr">
        <is>
          <t>K</t>
        </is>
      </c>
      <c r="C5880" s="12" t="inlineStr">
        <is>
          <t>Fuel supply (adjacent market)</t>
        </is>
      </c>
      <c r="D5880" s="12" t="inlineStr">
        <is>
          <t>Control</t>
        </is>
      </c>
      <c r="E5880" s="12" t="inlineStr"/>
      <c r="F5880" s="12" t="inlineStr">
        <is>
          <t>LNG 17: LNG e-house (13.8 kV / 480 V)</t>
        </is>
      </c>
      <c r="G5880" s="12" t="inlineStr"/>
      <c r="H5880" s="12" t="inlineStr">
        <is>
          <t>M&amp;R CP test station (as drawn)</t>
        </is>
      </c>
      <c r="I5880" s="12" t="inlineStr">
        <is>
          <t>Control</t>
        </is>
      </c>
      <c r="J5880" s="12" t="inlineStr">
        <is>
          <t>ARMOR-X MC-HL 600 V control, Cu #14 AWG (Class I Div 2)</t>
        </is>
      </c>
      <c r="K5880" s="12" t="inlineStr">
        <is>
          <t>CTAX|7/C|14</t>
        </is>
      </c>
      <c r="L5880" s="12" t="inlineStr">
        <is>
          <t>7/C</t>
        </is>
      </c>
      <c r="M5880" s="12" t="inlineStr">
        <is>
          <t>14</t>
        </is>
      </c>
      <c r="N5880" s="12" t="n">
        <v>1</v>
      </c>
      <c r="O5880" s="12" t="n">
        <v>1</v>
      </c>
      <c r="P5880" s="12" t="n"/>
      <c r="Q5880" s="12" t="n"/>
      <c r="R5880" s="12" t="n"/>
      <c r="S5880" s="12" t="inlineStr">
        <is>
          <t>Duct bank</t>
        </is>
      </c>
      <c r="T5880" s="15" t="n">
        <v>441</v>
      </c>
      <c r="U5880" s="15" t="n">
        <v>42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K-C-0125</t>
        </is>
      </c>
      <c r="B5881" s="12" t="inlineStr">
        <is>
          <t>K</t>
        </is>
      </c>
      <c r="C5881" s="12" t="inlineStr">
        <is>
          <t>Fuel supply (adjacent market)</t>
        </is>
      </c>
      <c r="D5881" s="12" t="inlineStr">
        <is>
          <t>Control</t>
        </is>
      </c>
      <c r="E5881" s="12" t="inlineStr"/>
      <c r="F5881" s="12" t="inlineStr">
        <is>
          <t>LNG 17: LNG e-house (13.8 kV / 480 V)</t>
        </is>
      </c>
      <c r="G5881" s="12" t="inlineStr"/>
      <c r="H5881" s="12" t="inlineStr">
        <is>
          <t>M&amp;R SCADA antenna mast base (as drawn)</t>
        </is>
      </c>
      <c r="I5881" s="12" t="inlineStr">
        <is>
          <t>Control</t>
        </is>
      </c>
      <c r="J5881" s="12" t="inlineStr">
        <is>
          <t>ARMOR-X MC-HL 600 V control, Cu #14 AWG (Class I Div 2)</t>
        </is>
      </c>
      <c r="K5881" s="12" t="inlineStr">
        <is>
          <t>CTAX|7/C|14</t>
        </is>
      </c>
      <c r="L5881" s="12" t="inlineStr">
        <is>
          <t>7/C</t>
        </is>
      </c>
      <c r="M5881" s="12" t="inlineStr">
        <is>
          <t>14</t>
        </is>
      </c>
      <c r="N5881" s="12" t="n">
        <v>1</v>
      </c>
      <c r="O5881" s="12" t="n">
        <v>1</v>
      </c>
      <c r="P5881" s="12" t="n"/>
      <c r="Q5881" s="12" t="n"/>
      <c r="R5881" s="12" t="n"/>
      <c r="S5881" s="12" t="inlineStr">
        <is>
          <t>Duct bank</t>
        </is>
      </c>
      <c r="T5881" s="15" t="n">
        <v>433</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K-C-0126</t>
        </is>
      </c>
      <c r="B5882" s="12" t="inlineStr">
        <is>
          <t>K</t>
        </is>
      </c>
      <c r="C5882" s="12" t="inlineStr">
        <is>
          <t>Fuel supply (adjacent market)</t>
        </is>
      </c>
      <c r="D5882" s="12" t="inlineStr">
        <is>
          <t>Control</t>
        </is>
      </c>
      <c r="E5882" s="12" t="inlineStr"/>
      <c r="F5882" s="12" t="inlineStr">
        <is>
          <t>H2 20: 13.8 kV e-house</t>
        </is>
      </c>
      <c r="G5882" s="12" t="inlineStr"/>
      <c r="H5882" s="12" t="inlineStr">
        <is>
          <t>PEM electrolyzer 1 (5 MW PEM stack)</t>
        </is>
      </c>
      <c r="I5882" s="12" t="inlineStr">
        <is>
          <t>Control</t>
        </is>
      </c>
      <c r="J5882" s="12" t="inlineStr">
        <is>
          <t>ARMOR-X MC-HL 600 V control, Cu #14 AWG (Class I Div 2)</t>
        </is>
      </c>
      <c r="K5882" s="12" t="inlineStr">
        <is>
          <t>CTAX|7/C|14</t>
        </is>
      </c>
      <c r="L5882" s="12" t="inlineStr">
        <is>
          <t>7/C</t>
        </is>
      </c>
      <c r="M5882" s="12" t="inlineStr">
        <is>
          <t>14</t>
        </is>
      </c>
      <c r="N5882" s="12" t="n">
        <v>1</v>
      </c>
      <c r="O5882" s="12" t="n">
        <v>1</v>
      </c>
      <c r="P5882" s="12" t="n"/>
      <c r="Q5882" s="12" t="n"/>
      <c r="R5882" s="12" t="n"/>
      <c r="S5882" s="12" t="inlineStr">
        <is>
          <t>Duct bank</t>
        </is>
      </c>
      <c r="T5882" s="15" t="n">
        <v>358</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K-C-0127</t>
        </is>
      </c>
      <c r="B5883" s="12" t="inlineStr">
        <is>
          <t>K</t>
        </is>
      </c>
      <c r="C5883" s="12" t="inlineStr">
        <is>
          <t>Fuel supply (adjacent market)</t>
        </is>
      </c>
      <c r="D5883" s="12" t="inlineStr">
        <is>
          <t>Control</t>
        </is>
      </c>
      <c r="E5883" s="12" t="inlineStr"/>
      <c r="F5883" s="12" t="inlineStr">
        <is>
          <t>H2 20: 13.8 kV e-house</t>
        </is>
      </c>
      <c r="G5883" s="12" t="inlineStr"/>
      <c r="H5883" s="12" t="inlineStr">
        <is>
          <t>PEM electrolyzer 2 (5 MW PEM stack)</t>
        </is>
      </c>
      <c r="I5883" s="12" t="inlineStr">
        <is>
          <t>Control</t>
        </is>
      </c>
      <c r="J5883" s="12" t="inlineStr">
        <is>
          <t>ARMOR-X MC-HL 600 V control, Cu #14 AWG (Class I Div 2)</t>
        </is>
      </c>
      <c r="K5883" s="12" t="inlineStr">
        <is>
          <t>CTAX|7/C|14</t>
        </is>
      </c>
      <c r="L5883" s="12" t="inlineStr">
        <is>
          <t>7/C</t>
        </is>
      </c>
      <c r="M5883" s="12" t="inlineStr">
        <is>
          <t>14</t>
        </is>
      </c>
      <c r="N5883" s="12" t="n">
        <v>1</v>
      </c>
      <c r="O5883" s="12" t="n">
        <v>1</v>
      </c>
      <c r="P5883" s="12" t="n"/>
      <c r="Q5883" s="12" t="n"/>
      <c r="R5883" s="12" t="n"/>
      <c r="S5883" s="12" t="inlineStr">
        <is>
          <t>Duct bank</t>
        </is>
      </c>
      <c r="T5883" s="15" t="n">
        <v>358</v>
      </c>
      <c r="U5883" s="15" t="n">
        <v>48</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K-C-0128</t>
        </is>
      </c>
      <c r="B5884" s="12" t="inlineStr">
        <is>
          <t>K</t>
        </is>
      </c>
      <c r="C5884" s="12" t="inlineStr">
        <is>
          <t>Fuel supply (adjacent market)</t>
        </is>
      </c>
      <c r="D5884" s="12" t="inlineStr">
        <is>
          <t>Control</t>
        </is>
      </c>
      <c r="E5884" s="12" t="inlineStr"/>
      <c r="F5884" s="12" t="inlineStr">
        <is>
          <t>H2 20: 13.8 kV e-house</t>
        </is>
      </c>
      <c r="G5884" s="12" t="inlineStr"/>
      <c r="H5884" s="12" t="inlineStr">
        <is>
          <t>PEM electrolyzer 3 (5 MW PEM stack)</t>
        </is>
      </c>
      <c r="I5884" s="12" t="inlineStr">
        <is>
          <t>Control</t>
        </is>
      </c>
      <c r="J5884" s="12" t="inlineStr">
        <is>
          <t>ARMOR-X MC-HL 600 V control, Cu #14 AWG (Class I Div 2)</t>
        </is>
      </c>
      <c r="K5884" s="12" t="inlineStr">
        <is>
          <t>CTAX|7/C|14</t>
        </is>
      </c>
      <c r="L5884" s="12" t="inlineStr">
        <is>
          <t>7/C</t>
        </is>
      </c>
      <c r="M5884" s="12" t="inlineStr">
        <is>
          <t>14</t>
        </is>
      </c>
      <c r="N5884" s="12" t="n">
        <v>1</v>
      </c>
      <c r="O5884" s="12" t="n">
        <v>1</v>
      </c>
      <c r="P5884" s="12" t="n"/>
      <c r="Q5884" s="12" t="n"/>
      <c r="R5884" s="12" t="n"/>
      <c r="S5884" s="12" t="inlineStr">
        <is>
          <t>Duct bank</t>
        </is>
      </c>
      <c r="T5884" s="15" t="n">
        <v>348</v>
      </c>
      <c r="U5884" s="15" t="n">
        <v>49</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K-C-0129</t>
        </is>
      </c>
      <c r="B5885" s="12" t="inlineStr">
        <is>
          <t>K</t>
        </is>
      </c>
      <c r="C5885" s="12" t="inlineStr">
        <is>
          <t>Fuel supply (adjacent market)</t>
        </is>
      </c>
      <c r="D5885" s="12" t="inlineStr">
        <is>
          <t>Control</t>
        </is>
      </c>
      <c r="E5885" s="12" t="inlineStr"/>
      <c r="F5885" s="12" t="inlineStr">
        <is>
          <t>H2 20: 13.8 kV e-house</t>
        </is>
      </c>
      <c r="G5885" s="12" t="inlineStr"/>
      <c r="H5885" s="12" t="inlineStr">
        <is>
          <t>PEM electrolyzer 4 (5 MW PEM stack)</t>
        </is>
      </c>
      <c r="I5885" s="12" t="inlineStr">
        <is>
          <t>Control</t>
        </is>
      </c>
      <c r="J5885" s="12" t="inlineStr">
        <is>
          <t>ARMOR-X MC-HL 600 V control, Cu #14 AWG (Class I Div 2)</t>
        </is>
      </c>
      <c r="K5885" s="12" t="inlineStr">
        <is>
          <t>CTAX|7/C|14</t>
        </is>
      </c>
      <c r="L5885" s="12" t="inlineStr">
        <is>
          <t>7/C</t>
        </is>
      </c>
      <c r="M5885" s="12" t="inlineStr">
        <is>
          <t>14</t>
        </is>
      </c>
      <c r="N5885" s="12" t="n">
        <v>1</v>
      </c>
      <c r="O5885" s="12" t="n">
        <v>1</v>
      </c>
      <c r="P5885" s="12" t="n"/>
      <c r="Q5885" s="12" t="n"/>
      <c r="R5885" s="12" t="n"/>
      <c r="S5885" s="12" t="inlineStr">
        <is>
          <t>Duct bank</t>
        </is>
      </c>
      <c r="T5885" s="15" t="n">
        <v>328</v>
      </c>
      <c r="U5885" s="15" t="n">
        <v>49</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K-C-0130</t>
        </is>
      </c>
      <c r="B5886" s="12" t="inlineStr">
        <is>
          <t>K</t>
        </is>
      </c>
      <c r="C5886" s="12" t="inlineStr">
        <is>
          <t>Fuel supply (adjacent market)</t>
        </is>
      </c>
      <c r="D5886" s="12" t="inlineStr">
        <is>
          <t>Control</t>
        </is>
      </c>
      <c r="E5886" s="12" t="inlineStr"/>
      <c r="F5886" s="12" t="inlineStr">
        <is>
          <t>H2 20: 13.8 kV e-house</t>
        </is>
      </c>
      <c r="G5886" s="12" t="inlineStr"/>
      <c r="H5886" s="12" t="inlineStr">
        <is>
          <t>PEM electrolyzer 5 (5 MW PEM stack)</t>
        </is>
      </c>
      <c r="I5886" s="12" t="inlineStr">
        <is>
          <t>Control</t>
        </is>
      </c>
      <c r="J5886" s="12" t="inlineStr">
        <is>
          <t>ARMOR-X MC-HL 600 V control, Cu #14 AWG (Class I Div 2)</t>
        </is>
      </c>
      <c r="K5886" s="12" t="inlineStr">
        <is>
          <t>CTAX|7/C|14</t>
        </is>
      </c>
      <c r="L5886" s="12" t="inlineStr">
        <is>
          <t>7/C</t>
        </is>
      </c>
      <c r="M5886" s="12" t="inlineStr">
        <is>
          <t>14</t>
        </is>
      </c>
      <c r="N5886" s="12" t="n">
        <v>1</v>
      </c>
      <c r="O5886" s="12" t="n">
        <v>1</v>
      </c>
      <c r="P5886" s="12" t="n"/>
      <c r="Q5886" s="12" t="n"/>
      <c r="R5886" s="12" t="n"/>
      <c r="S5886" s="12" t="inlineStr">
        <is>
          <t>Duct bank</t>
        </is>
      </c>
      <c r="T5886" s="15" t="n">
        <v>328</v>
      </c>
      <c r="U5886" s="15" t="n">
        <v>32</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K-C-0131</t>
        </is>
      </c>
      <c r="B5887" s="12" t="inlineStr">
        <is>
          <t>K</t>
        </is>
      </c>
      <c r="C5887" s="12" t="inlineStr">
        <is>
          <t>Fuel supply (adjacent market)</t>
        </is>
      </c>
      <c r="D5887" s="12" t="inlineStr">
        <is>
          <t>Control</t>
        </is>
      </c>
      <c r="E5887" s="12" t="inlineStr"/>
      <c r="F5887" s="12" t="inlineStr">
        <is>
          <t>H2 20: 13.8 kV e-house</t>
        </is>
      </c>
      <c r="G5887" s="12" t="inlineStr"/>
      <c r="H5887" s="12" t="inlineStr">
        <is>
          <t>Rectifier 1 (7 MVA)</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5" t="n">
        <v>346</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K-C-0132</t>
        </is>
      </c>
      <c r="B5888" s="12" t="inlineStr">
        <is>
          <t>K</t>
        </is>
      </c>
      <c r="C5888" s="12" t="inlineStr">
        <is>
          <t>Fuel supply (adjacent market)</t>
        </is>
      </c>
      <c r="D5888" s="12" t="inlineStr">
        <is>
          <t>Control</t>
        </is>
      </c>
      <c r="E5888" s="12" t="inlineStr"/>
      <c r="F5888" s="12" t="inlineStr">
        <is>
          <t>H2 20: 13.8 kV e-house</t>
        </is>
      </c>
      <c r="G5888" s="12" t="inlineStr"/>
      <c r="H5888" s="12" t="inlineStr">
        <is>
          <t>Rectifier 2 (7 MVA)</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5" t="n">
        <v>361</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K-C-0133</t>
        </is>
      </c>
      <c r="B5889" s="12" t="inlineStr">
        <is>
          <t>K</t>
        </is>
      </c>
      <c r="C5889" s="12" t="inlineStr">
        <is>
          <t>Fuel supply (adjacent market)</t>
        </is>
      </c>
      <c r="D5889" s="12" t="inlineStr">
        <is>
          <t>Control</t>
        </is>
      </c>
      <c r="E5889" s="12" t="inlineStr"/>
      <c r="F5889" s="12" t="inlineStr">
        <is>
          <t>H2 20: 13.8 kV e-house</t>
        </is>
      </c>
      <c r="G5889" s="12" t="inlineStr"/>
      <c r="H5889" s="12" t="inlineStr">
        <is>
          <t>Rectifier 3 (7 MVA)</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5" t="n">
        <v>341</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K-C-0134</t>
        </is>
      </c>
      <c r="B5890" s="12" t="inlineStr">
        <is>
          <t>K</t>
        </is>
      </c>
      <c r="C5890" s="12" t="inlineStr">
        <is>
          <t>Fuel supply (adjacent market)</t>
        </is>
      </c>
      <c r="D5890" s="12" t="inlineStr">
        <is>
          <t>Control</t>
        </is>
      </c>
      <c r="E5890" s="12" t="inlineStr"/>
      <c r="F5890" s="12" t="inlineStr">
        <is>
          <t>H2 20: 13.8 kV e-house</t>
        </is>
      </c>
      <c r="G5890" s="12" t="inlineStr"/>
      <c r="H5890" s="12" t="inlineStr">
        <is>
          <t>Rectifier 4 (7 MVA)</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5" t="n">
        <v>321</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K-C-0135</t>
        </is>
      </c>
      <c r="B5891" s="12" t="inlineStr">
        <is>
          <t>K</t>
        </is>
      </c>
      <c r="C5891" s="12" t="inlineStr">
        <is>
          <t>Fuel supply (adjacent market)</t>
        </is>
      </c>
      <c r="D5891" s="12" t="inlineStr">
        <is>
          <t>Control</t>
        </is>
      </c>
      <c r="E5891" s="12" t="inlineStr"/>
      <c r="F5891" s="12" t="inlineStr">
        <is>
          <t>H2 20: 13.8 kV e-house</t>
        </is>
      </c>
      <c r="G5891" s="12" t="inlineStr"/>
      <c r="H5891" s="12" t="inlineStr">
        <is>
          <t>Rectifier 5 (7 MVA)</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5" t="n">
        <v>301</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K-F-0001</t>
        </is>
      </c>
      <c r="B5892" s="12" t="inlineStr">
        <is>
          <t>K</t>
        </is>
      </c>
      <c r="C5892" s="12" t="inlineStr">
        <is>
          <t>Fuel supply (adjacent market)</t>
        </is>
      </c>
      <c r="D5892" s="12" t="inlineStr">
        <is>
          <t>Plant network / DCS fibre</t>
        </is>
      </c>
      <c r="E5892" s="12" t="inlineStr">
        <is>
          <t>CR</t>
        </is>
      </c>
      <c r="F5892" s="12" t="inlineStr">
        <is>
          <t>Control / admin building (main control room)</t>
        </is>
      </c>
      <c r="G5892" s="12" t="inlineStr"/>
      <c r="H5892" s="12" t="inlineStr">
        <is>
          <t>H2 20: 13.8 kV e-house</t>
        </is>
      </c>
      <c r="I5892" s="12" t="inlineStr">
        <is>
          <t>Fibre / data</t>
        </is>
      </c>
      <c r="J5892" s="12" t="inlineStr">
        <is>
          <t>Fibre optic, single-mode, 12-fibre, armored, orange jacket</t>
        </is>
      </c>
      <c r="K5892" s="12" t="inlineStr">
        <is>
          <t>FO|12 SM|-</t>
        </is>
      </c>
      <c r="L5892" s="12" t="inlineStr">
        <is>
          <t>12 SM</t>
        </is>
      </c>
      <c r="M5892" s="12" t="inlineStr">
        <is>
          <t>-</t>
        </is>
      </c>
      <c r="N5892" s="12" t="n">
        <v>1</v>
      </c>
      <c r="O5892" s="12" t="n">
        <v>1</v>
      </c>
      <c r="P5892" s="12" t="n"/>
      <c r="Q5892" s="12" t="n"/>
      <c r="R5892" s="12" t="n"/>
      <c r="S5892" s="12" t="inlineStr">
        <is>
          <t>Trench</t>
        </is>
      </c>
      <c r="T5892" s="15" t="n">
        <v>4293</v>
      </c>
      <c r="U5892" s="15" t="n">
        <v>36</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K-F-0002</t>
        </is>
      </c>
      <c r="B5893" s="12" t="inlineStr">
        <is>
          <t>K</t>
        </is>
      </c>
      <c r="C5893" s="12" t="inlineStr">
        <is>
          <t>Fuel supply (adjacent market)</t>
        </is>
      </c>
      <c r="D5893" s="12" t="inlineStr">
        <is>
          <t>Plant network / DCS fibre</t>
        </is>
      </c>
      <c r="E5893" s="12" t="inlineStr">
        <is>
          <t>CR</t>
        </is>
      </c>
      <c r="F5893" s="12" t="inlineStr">
        <is>
          <t>Control / admin building (main control room)</t>
        </is>
      </c>
      <c r="G5893" s="12" t="inlineStr"/>
      <c r="H5893" s="12" t="inlineStr">
        <is>
          <t>LNG 17: LNG e-house (13.8 kV / 480 V)</t>
        </is>
      </c>
      <c r="I5893" s="12" t="inlineStr">
        <is>
          <t>Fibre / data</t>
        </is>
      </c>
      <c r="J5893" s="12" t="inlineStr">
        <is>
          <t>Fibre optic, single-mode, 12-fibre, armored, orange jacket</t>
        </is>
      </c>
      <c r="K5893" s="12" t="inlineStr">
        <is>
          <t>FO|12 SM|-</t>
        </is>
      </c>
      <c r="L5893" s="12" t="inlineStr">
        <is>
          <t>12 SM</t>
        </is>
      </c>
      <c r="M5893" s="12" t="inlineStr">
        <is>
          <t>-</t>
        </is>
      </c>
      <c r="N5893" s="12" t="n">
        <v>1</v>
      </c>
      <c r="O5893" s="12" t="n">
        <v>1</v>
      </c>
      <c r="P5893" s="12" t="n"/>
      <c r="Q5893" s="12" t="n"/>
      <c r="R5893" s="12" t="n"/>
      <c r="S5893" s="12" t="inlineStr">
        <is>
          <t>Duct bank</t>
        </is>
      </c>
      <c r="T5893" s="15" t="n">
        <v>3499</v>
      </c>
      <c r="U5893" s="15" t="n">
        <v>359</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K-F-0003</t>
        </is>
      </c>
      <c r="B5894" s="12" t="inlineStr">
        <is>
          <t>K</t>
        </is>
      </c>
      <c r="C5894" s="12" t="inlineStr">
        <is>
          <t>Fuel supply (adjacent market)</t>
        </is>
      </c>
      <c r="D5894" s="12" t="inlineStr">
        <is>
          <t>Plant network / DCS fibre</t>
        </is>
      </c>
      <c r="E5894" s="12" t="inlineStr">
        <is>
          <t>CR</t>
        </is>
      </c>
      <c r="F5894" s="12" t="inlineStr">
        <is>
          <t>Control / admin building (main control room)</t>
        </is>
      </c>
      <c r="G5894" s="12" t="inlineStr"/>
      <c r="H5894" s="12" t="inlineStr">
        <is>
          <t>M&amp;R 6: regulation / flow control building</t>
        </is>
      </c>
      <c r="I5894" s="12" t="inlineStr">
        <is>
          <t>Fibre / data</t>
        </is>
      </c>
      <c r="J5894" s="12" t="inlineStr">
        <is>
          <t>Fibre optic, single-mode, 12-fibre, armored, orange jacket</t>
        </is>
      </c>
      <c r="K5894" s="12" t="inlineStr">
        <is>
          <t>FO|12 SM|-</t>
        </is>
      </c>
      <c r="L5894" s="12" t="inlineStr">
        <is>
          <t>12 SM</t>
        </is>
      </c>
      <c r="M5894" s="12" t="inlineStr">
        <is>
          <t>-</t>
        </is>
      </c>
      <c r="N5894" s="12" t="n">
        <v>1</v>
      </c>
      <c r="O5894" s="12" t="n">
        <v>1</v>
      </c>
      <c r="P5894" s="12" t="n"/>
      <c r="Q5894" s="12" t="n"/>
      <c r="R5894" s="12" t="n"/>
      <c r="S5894" s="12" t="inlineStr">
        <is>
          <t>Duct bank</t>
        </is>
      </c>
      <c r="T5894" s="15" t="n">
        <v>3128</v>
      </c>
      <c r="U5894" s="15" t="n">
        <v>302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K-F-0004</t>
        </is>
      </c>
      <c r="B5895" s="12" t="inlineStr">
        <is>
          <t>K</t>
        </is>
      </c>
      <c r="C5895" s="12" t="inlineStr">
        <is>
          <t>Fuel supply (adjacent market)</t>
        </is>
      </c>
      <c r="D5895" s="12" t="inlineStr">
        <is>
          <t>Plant network / DCS fibre</t>
        </is>
      </c>
      <c r="E5895" s="12" t="inlineStr">
        <is>
          <t>CR</t>
        </is>
      </c>
      <c r="F5895" s="12" t="inlineStr">
        <is>
          <t>Control / admin building (main control room)</t>
        </is>
      </c>
      <c r="G5895" s="12" t="inlineStr"/>
      <c r="H5895" s="12" t="inlineStr">
        <is>
          <t>M&amp;R 7: gas quality + measurement building</t>
        </is>
      </c>
      <c r="I5895" s="12" t="inlineStr">
        <is>
          <t>Fibre / data</t>
        </is>
      </c>
      <c r="J5895" s="12" t="inlineStr">
        <is>
          <t>Fibre optic, single-mode, 12-fibre, armored, orange jacket</t>
        </is>
      </c>
      <c r="K5895" s="12" t="inlineStr">
        <is>
          <t>FO|12 SM|-</t>
        </is>
      </c>
      <c r="L5895" s="12" t="inlineStr">
        <is>
          <t>12 SM</t>
        </is>
      </c>
      <c r="M5895" s="12" t="inlineStr">
        <is>
          <t>-</t>
        </is>
      </c>
      <c r="N5895" s="12" t="n">
        <v>1</v>
      </c>
      <c r="O5895" s="12" t="n">
        <v>1</v>
      </c>
      <c r="P5895" s="12" t="n"/>
      <c r="Q5895" s="12" t="n"/>
      <c r="R5895" s="12" t="n"/>
      <c r="S5895" s="12" t="inlineStr">
        <is>
          <t>Duct bank</t>
        </is>
      </c>
      <c r="T5895" s="15" t="n">
        <v>2978</v>
      </c>
      <c r="U5895" s="15" t="n">
        <v>284</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K-FA-0001</t>
        </is>
      </c>
      <c r="B5896" s="12" t="inlineStr">
        <is>
          <t>K</t>
        </is>
      </c>
      <c r="C5896" s="12" t="inlineStr">
        <is>
          <t>Fuel supply (adjacent market)</t>
        </is>
      </c>
      <c r="D5896" s="12" t="inlineStr">
        <is>
          <t>Fire alarm / F&amp;G loop (to the local FACP / F&amp;G node)</t>
        </is>
      </c>
      <c r="E5896" s="12" t="inlineStr"/>
      <c r="F5896" s="12" t="inlineStr">
        <is>
          <t>H2 20: 13.8 kV e-house</t>
        </is>
      </c>
      <c r="G5896" s="12" t="inlineStr"/>
      <c r="H5896" s="12" t="inlineStr">
        <is>
          <t>H2 20: 13.8 kV e-house</t>
        </is>
      </c>
      <c r="I5896" s="12" t="inlineStr">
        <is>
          <t>Fire alarm</t>
        </is>
      </c>
      <c r="J5896" s="12" t="inlineStr">
        <is>
          <t>Fire alarm FPLR 2/C #14 shielded, red jacket (NEC 760)</t>
        </is>
      </c>
      <c r="K5896" s="12" t="inlineStr">
        <is>
          <t>FA|2/C|14</t>
        </is>
      </c>
      <c r="L5896" s="12" t="inlineStr">
        <is>
          <t>2/C</t>
        </is>
      </c>
      <c r="M5896" s="12" t="inlineStr">
        <is>
          <t>14</t>
        </is>
      </c>
      <c r="N5896" s="12" t="n">
        <v>1</v>
      </c>
      <c r="O5896" s="12" t="n">
        <v>1</v>
      </c>
      <c r="P5896" s="12" t="n"/>
      <c r="Q5896" s="12" t="n"/>
      <c r="R5896" s="12" t="n"/>
      <c r="S5896" s="12" t="inlineStr">
        <is>
          <t>Tray</t>
        </is>
      </c>
      <c r="T5896" s="15" t="n">
        <v>0</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K-FA-0002</t>
        </is>
      </c>
      <c r="B5897" s="12" t="inlineStr">
        <is>
          <t>K</t>
        </is>
      </c>
      <c r="C5897" s="12" t="inlineStr">
        <is>
          <t>Fuel supply (adjacent market)</t>
        </is>
      </c>
      <c r="D5897" s="12" t="inlineStr">
        <is>
          <t>Fire alarm / F&amp;G loop (to the local FACP / F&amp;G node)</t>
        </is>
      </c>
      <c r="E5897" s="12" t="inlineStr"/>
      <c r="F5897" s="12" t="inlineStr">
        <is>
          <t>LNG 17: LNG e-house (13.8 kV / 480 V)</t>
        </is>
      </c>
      <c r="G5897" s="12" t="inlineStr"/>
      <c r="H5897" s="12" t="inlineStr">
        <is>
          <t>LNG 17: LNG e-house (13.8 kV / 480 V)</t>
        </is>
      </c>
      <c r="I5897" s="12" t="inlineStr">
        <is>
          <t>Fire alarm</t>
        </is>
      </c>
      <c r="J5897" s="12" t="inlineStr">
        <is>
          <t>Fire alarm FPLR 2/C #14 shielded, red jacket (NEC 760)</t>
        </is>
      </c>
      <c r="K5897" s="12" t="inlineStr">
        <is>
          <t>FA|2/C|14</t>
        </is>
      </c>
      <c r="L5897" s="12" t="inlineStr">
        <is>
          <t>2/C</t>
        </is>
      </c>
      <c r="M5897" s="12" t="inlineStr">
        <is>
          <t>14</t>
        </is>
      </c>
      <c r="N5897" s="12" t="n">
        <v>1</v>
      </c>
      <c r="O5897" s="12" t="n">
        <v>1</v>
      </c>
      <c r="P5897" s="12" t="n"/>
      <c r="Q5897" s="12" t="n"/>
      <c r="R5897" s="12" t="n"/>
      <c r="S5897" s="12" t="inlineStr">
        <is>
          <t>Tray</t>
        </is>
      </c>
      <c r="T5897" s="15" t="n">
        <v>0</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K-FA-0003</t>
        </is>
      </c>
      <c r="B5898" s="12" t="inlineStr">
        <is>
          <t>K</t>
        </is>
      </c>
      <c r="C5898" s="12" t="inlineStr">
        <is>
          <t>Fuel supply (adjacent market)</t>
        </is>
      </c>
      <c r="D5898" s="12" t="inlineStr">
        <is>
          <t>Fire alarm / F&amp;G loop (to the local FACP / F&amp;G node)</t>
        </is>
      </c>
      <c r="E5898" s="12" t="inlineStr"/>
      <c r="F5898" s="12" t="inlineStr">
        <is>
          <t>LNG 17: LNG e-house (13.8 kV / 480 V)</t>
        </is>
      </c>
      <c r="G5898" s="12" t="inlineStr"/>
      <c r="H5898" s="12" t="inlineStr">
        <is>
          <t>M&amp;R 6: regulation / flow control building</t>
        </is>
      </c>
      <c r="I5898" s="12" t="inlineStr">
        <is>
          <t>Fire alarm</t>
        </is>
      </c>
      <c r="J5898" s="12" t="inlineStr">
        <is>
          <t>Fire alarm FPLR 2/C #14 shielded, red jacket (NEC 760)</t>
        </is>
      </c>
      <c r="K5898" s="12" t="inlineStr">
        <is>
          <t>FA|2/C|14</t>
        </is>
      </c>
      <c r="L5898" s="12" t="inlineStr">
        <is>
          <t>2/C</t>
        </is>
      </c>
      <c r="M5898" s="12" t="inlineStr">
        <is>
          <t>14</t>
        </is>
      </c>
      <c r="N5898" s="12" t="n">
        <v>1</v>
      </c>
      <c r="O5898" s="12" t="n">
        <v>1</v>
      </c>
      <c r="P5898" s="12" t="n"/>
      <c r="Q5898" s="12" t="n"/>
      <c r="R5898" s="12" t="n"/>
      <c r="S5898" s="12" t="inlineStr">
        <is>
          <t>Duct bank</t>
        </is>
      </c>
      <c r="T5898" s="15" t="n">
        <v>470</v>
      </c>
      <c r="U5898" s="15" t="n">
        <v>70</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K-FA-0004</t>
        </is>
      </c>
      <c r="B5899" s="12" t="inlineStr">
        <is>
          <t>K</t>
        </is>
      </c>
      <c r="C5899" s="12" t="inlineStr">
        <is>
          <t>Fuel supply (adjacent market)</t>
        </is>
      </c>
      <c r="D5899" s="12" t="inlineStr">
        <is>
          <t>Fire alarm / F&amp;G loop (to the local FACP / F&amp;G node)</t>
        </is>
      </c>
      <c r="E5899" s="12" t="inlineStr"/>
      <c r="F5899" s="12" t="inlineStr">
        <is>
          <t>LNG 17: LNG e-house (13.8 kV / 480 V)</t>
        </is>
      </c>
      <c r="G5899" s="12" t="inlineStr"/>
      <c r="H5899" s="12" t="inlineStr">
        <is>
          <t>M&amp;R 9: service panel + UPS, SCADA RTU, CP</t>
        </is>
      </c>
      <c r="I5899" s="12" t="inlineStr">
        <is>
          <t>Fire alarm</t>
        </is>
      </c>
      <c r="J5899" s="12" t="inlineStr">
        <is>
          <t>Fire alarm FPLR 2/C #14 shielded, red jacket (NEC 760)</t>
        </is>
      </c>
      <c r="K5899" s="12" t="inlineStr">
        <is>
          <t>FA|2/C|14</t>
        </is>
      </c>
      <c r="L5899" s="12" t="inlineStr">
        <is>
          <t>2/C</t>
        </is>
      </c>
      <c r="M5899" s="12" t="inlineStr">
        <is>
          <t>14</t>
        </is>
      </c>
      <c r="N5899" s="12" t="n">
        <v>1</v>
      </c>
      <c r="O5899" s="12" t="n">
        <v>1</v>
      </c>
      <c r="P5899" s="12" t="n"/>
      <c r="Q5899" s="12" t="n"/>
      <c r="R5899" s="12" t="n"/>
      <c r="S5899" s="12" t="inlineStr">
        <is>
          <t>Duct bank</t>
        </is>
      </c>
      <c r="T5899" s="15" t="n">
        <v>466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K-FA-0005</t>
        </is>
      </c>
      <c r="B5900" s="12" t="inlineStr">
        <is>
          <t>K</t>
        </is>
      </c>
      <c r="C5900" s="12" t="inlineStr">
        <is>
          <t>Fuel supply (adjacent market)</t>
        </is>
      </c>
      <c r="D5900" s="12" t="inlineStr">
        <is>
          <t>Fire alarm / F&amp;G loop (to the local FACP / F&amp;G node)</t>
        </is>
      </c>
      <c r="E5900" s="12" t="inlineStr"/>
      <c r="F5900" s="12" t="inlineStr">
        <is>
          <t>LNG 17: LNG e-house (13.8 kV / 480 V)</t>
        </is>
      </c>
      <c r="G5900" s="12" t="inlineStr"/>
      <c r="H5900" s="12" t="inlineStr">
        <is>
          <t>M&amp;R SCADA antenna mast base (as drawn)</t>
        </is>
      </c>
      <c r="I5900" s="12" t="inlineStr">
        <is>
          <t>Fire alarm</t>
        </is>
      </c>
      <c r="J5900" s="12" t="inlineStr">
        <is>
          <t>Fire alarm FPLR 2/C #14 shielded, red jacket (NEC 760)</t>
        </is>
      </c>
      <c r="K5900" s="12" t="inlineStr">
        <is>
          <t>FA|2/C|14</t>
        </is>
      </c>
      <c r="L5900" s="12" t="inlineStr">
        <is>
          <t>2/C</t>
        </is>
      </c>
      <c r="M5900" s="12" t="inlineStr">
        <is>
          <t>14</t>
        </is>
      </c>
      <c r="N5900" s="12" t="n">
        <v>1</v>
      </c>
      <c r="O5900" s="12" t="n">
        <v>1</v>
      </c>
      <c r="P5900" s="12" t="n"/>
      <c r="Q5900" s="12" t="n"/>
      <c r="R5900" s="12" t="n"/>
      <c r="S5900" s="12" t="inlineStr">
        <is>
          <t>Duct bank</t>
        </is>
      </c>
      <c r="T5900" s="15" t="n">
        <v>433</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K-I-0001</t>
        </is>
      </c>
      <c r="B5901" s="12" t="inlineStr">
        <is>
          <t>K</t>
        </is>
      </c>
      <c r="C5901" s="12" t="inlineStr">
        <is>
          <t>Fuel supply (adjacent market)</t>
        </is>
      </c>
      <c r="D5901" s="12" t="inlineStr">
        <is>
          <t>Analog instrument to JB JB-T-H2-AI01: 12 x 1 pr (field cables)</t>
        </is>
      </c>
      <c r="E5901" s="12" t="inlineStr">
        <is>
          <t>T-H2</t>
        </is>
      </c>
      <c r="F5901" s="12" t="inlineStr">
        <is>
          <t>H2 19: T-H2 230/13.8 kV (about 40 MVA)</t>
        </is>
      </c>
      <c r="G5901" s="12" t="inlineStr">
        <is>
          <t>JB-T-H2-AI01</t>
        </is>
      </c>
      <c r="H5901" s="12" t="inlineStr">
        <is>
          <t>H2 19: T-H2 230/13.8 kV (about 40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80</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K-I-0002</t>
        </is>
      </c>
      <c r="B5902" s="12" t="inlineStr">
        <is>
          <t>K</t>
        </is>
      </c>
      <c r="C5902" s="12" t="inlineStr">
        <is>
          <t>Fuel supply (adjacent market)</t>
        </is>
      </c>
      <c r="D5902" s="12" t="inlineStr">
        <is>
          <t>Home run JB-T-H2-AI01 to the control / marshalling room</t>
        </is>
      </c>
      <c r="E5902" s="12" t="inlineStr"/>
      <c r="F5902" s="12" t="inlineStr">
        <is>
          <t>H2 20: 13.8 kV e-house</t>
        </is>
      </c>
      <c r="G5902" s="12" t="inlineStr">
        <is>
          <t>JB-T-H2-AI01</t>
        </is>
      </c>
      <c r="H5902" s="12" t="inlineStr">
        <is>
          <t>H2 19: T-H2 230/13.8 kV (about 40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35</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K-I-0003</t>
        </is>
      </c>
      <c r="B5903" s="12" t="inlineStr">
        <is>
          <t>K</t>
        </is>
      </c>
      <c r="C5903" s="12" t="inlineStr">
        <is>
          <t>Fuel supply (adjacent market)</t>
        </is>
      </c>
      <c r="D5903" s="12" t="inlineStr">
        <is>
          <t>Discrete device to JB JB-T-H2-DI01: 12 x 1 pr (field cables)</t>
        </is>
      </c>
      <c r="E5903" s="12" t="inlineStr">
        <is>
          <t>T-H2</t>
        </is>
      </c>
      <c r="F5903" s="12" t="inlineStr">
        <is>
          <t>H2 19: T-H2 230/13.8 kV (about 40 MVA)</t>
        </is>
      </c>
      <c r="G5903" s="12" t="inlineStr">
        <is>
          <t>JB-T-H2-DI01</t>
        </is>
      </c>
      <c r="H5903" s="12" t="inlineStr">
        <is>
          <t>H2 19: T-H2 230/13.8 kV (about 40 MVA)</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80</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K-I-0004</t>
        </is>
      </c>
      <c r="B5904" s="12" t="inlineStr">
        <is>
          <t>K</t>
        </is>
      </c>
      <c r="C5904" s="12" t="inlineStr">
        <is>
          <t>Fuel supply (adjacent market)</t>
        </is>
      </c>
      <c r="D5904" s="12" t="inlineStr">
        <is>
          <t>Home run JB-T-H2-DI01 to the control / marshalling room</t>
        </is>
      </c>
      <c r="E5904" s="12" t="inlineStr"/>
      <c r="F5904" s="12" t="inlineStr">
        <is>
          <t>H2 20: 13.8 kV e-house</t>
        </is>
      </c>
      <c r="G5904" s="12" t="inlineStr">
        <is>
          <t>JB-T-H2-DI01</t>
        </is>
      </c>
      <c r="H5904" s="12" t="inlineStr">
        <is>
          <t>H2 19: T-H2 230/13.8 kV (about 40 MVA)</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35</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K-I-0005</t>
        </is>
      </c>
      <c r="B5905" s="12" t="inlineStr">
        <is>
          <t>K</t>
        </is>
      </c>
      <c r="C5905" s="12" t="inlineStr">
        <is>
          <t>Fuel supply (adjacent market)</t>
        </is>
      </c>
      <c r="D5905" s="12" t="inlineStr">
        <is>
          <t>Analog instrument to JB JB-H2 20: 13.8 kV e-h-AI01: 12 x 1 pr (field cables)</t>
        </is>
      </c>
      <c r="E5905" s="12" t="inlineStr"/>
      <c r="F5905" s="12" t="inlineStr">
        <is>
          <t>H2 20: 13.8 kV e-house</t>
        </is>
      </c>
      <c r="G5905" s="12" t="inlineStr">
        <is>
          <t>JB-H2 20: 13.8 kV e-h-AI01</t>
        </is>
      </c>
      <c r="H5905" s="12" t="inlineStr">
        <is>
          <t>H2 20: 13.8 kV e-house</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69</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K-I-0006</t>
        </is>
      </c>
      <c r="B5906" s="12" t="inlineStr">
        <is>
          <t>K</t>
        </is>
      </c>
      <c r="C5906" s="12" t="inlineStr">
        <is>
          <t>Fuel supply (adjacent market)</t>
        </is>
      </c>
      <c r="D5906" s="12" t="inlineStr">
        <is>
          <t>Home run JB-H2 20: 13.8 kV e-h-AI01 to the control / marshalling room</t>
        </is>
      </c>
      <c r="E5906" s="12" t="inlineStr"/>
      <c r="F5906" s="12" t="inlineStr">
        <is>
          <t>H2 20: 13.8 kV e-house</t>
        </is>
      </c>
      <c r="G5906" s="12" t="inlineStr">
        <is>
          <t>JB-H2 20: 13.8 kV e-h-AI01</t>
        </is>
      </c>
      <c r="H5906" s="12" t="inlineStr">
        <is>
          <t>H2 20: 13.8 kV e-house</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Tray</t>
        </is>
      </c>
      <c r="T5906" s="15" t="n">
        <v>0</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K-I-0007</t>
        </is>
      </c>
      <c r="B5907" s="12" t="inlineStr">
        <is>
          <t>K</t>
        </is>
      </c>
      <c r="C5907" s="12" t="inlineStr">
        <is>
          <t>Fuel supply (adjacent market)</t>
        </is>
      </c>
      <c r="D5907" s="12" t="inlineStr">
        <is>
          <t>Discrete device to JB JB-H2 20: 13.8 kV e-h-DI01: 12 x 1 pr (field cables)</t>
        </is>
      </c>
      <c r="E5907" s="12" t="inlineStr"/>
      <c r="F5907" s="12" t="inlineStr">
        <is>
          <t>H2 20: 13.8 kV e-house</t>
        </is>
      </c>
      <c r="G5907" s="12" t="inlineStr">
        <is>
          <t>JB-H2 20: 13.8 kV e-h-DI01</t>
        </is>
      </c>
      <c r="H5907" s="12" t="inlineStr">
        <is>
          <t>H2 20: 13.8 kV e-house</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69</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K-I-0008</t>
        </is>
      </c>
      <c r="B5908" s="12" t="inlineStr">
        <is>
          <t>K</t>
        </is>
      </c>
      <c r="C5908" s="12" t="inlineStr">
        <is>
          <t>Fuel supply (adjacent market)</t>
        </is>
      </c>
      <c r="D5908" s="12" t="inlineStr">
        <is>
          <t>Home run JB-H2 20: 13.8 kV e-h-DI01 to the control / marshalling room</t>
        </is>
      </c>
      <c r="E5908" s="12" t="inlineStr"/>
      <c r="F5908" s="12" t="inlineStr">
        <is>
          <t>H2 20: 13.8 kV e-house</t>
        </is>
      </c>
      <c r="G5908" s="12" t="inlineStr">
        <is>
          <t>JB-H2 20: 13.8 kV e-h-DI01</t>
        </is>
      </c>
      <c r="H5908" s="12" t="inlineStr">
        <is>
          <t>H2 20: 13.8 kV e-house</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Tray</t>
        </is>
      </c>
      <c r="T5908" s="15" t="n">
        <v>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K-I-0009</t>
        </is>
      </c>
      <c r="B5909" s="12" t="inlineStr">
        <is>
          <t>K</t>
        </is>
      </c>
      <c r="C5909" s="12" t="inlineStr">
        <is>
          <t>Fuel supply (adjacent market)</t>
        </is>
      </c>
      <c r="D5909" s="12" t="inlineStr">
        <is>
          <t>Analog instrument to JB JB-H2 21: rectifier t-AI01: 12 x 1 pr (field cables)</t>
        </is>
      </c>
      <c r="E5909" s="12" t="inlineStr"/>
      <c r="F5909" s="12" t="inlineStr">
        <is>
          <t>H2 21: rectifier transformer 1 (7 MVA)</t>
        </is>
      </c>
      <c r="G5909" s="12" t="inlineStr">
        <is>
          <t>JB-H2 21: rectifier t-AI01</t>
        </is>
      </c>
      <c r="H5909" s="12" t="inlineStr">
        <is>
          <t>H2 21: rectifier transformer 1 (7 MVA)</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41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K-I-0010</t>
        </is>
      </c>
      <c r="B5910" s="12" t="inlineStr">
        <is>
          <t>K</t>
        </is>
      </c>
      <c r="C5910" s="12" t="inlineStr">
        <is>
          <t>Fuel supply (adjacent market)</t>
        </is>
      </c>
      <c r="D5910" s="12" t="inlineStr">
        <is>
          <t>Home run JB-H2 21: rectifier t-AI01 to the control / marshalling room</t>
        </is>
      </c>
      <c r="E5910" s="12" t="inlineStr"/>
      <c r="F5910" s="12" t="inlineStr">
        <is>
          <t>H2 20: 13.8 kV e-house</t>
        </is>
      </c>
      <c r="G5910" s="12" t="inlineStr">
        <is>
          <t>JB-H2 21: rectifier t-AI01</t>
        </is>
      </c>
      <c r="H5910" s="12" t="inlineStr">
        <is>
          <t>H2 21: rectifier transformer 1 (7 MVA)</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356</v>
      </c>
      <c r="U5910" s="15" t="n">
        <v>48</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K-I-0011</t>
        </is>
      </c>
      <c r="B5911" s="12" t="inlineStr">
        <is>
          <t>K</t>
        </is>
      </c>
      <c r="C5911" s="12" t="inlineStr">
        <is>
          <t>Fuel supply (adjacent market)</t>
        </is>
      </c>
      <c r="D5911" s="12" t="inlineStr">
        <is>
          <t>Discrete device to JB JB-H2 21: rectifier t-DI01: 12 x 1 pr (field cables)</t>
        </is>
      </c>
      <c r="E5911" s="12" t="inlineStr"/>
      <c r="F5911" s="12" t="inlineStr">
        <is>
          <t>H2 21: rectifier transformer 1 (7 MVA)</t>
        </is>
      </c>
      <c r="G5911" s="12" t="inlineStr">
        <is>
          <t>JB-H2 21: rectifier t-DI01</t>
        </is>
      </c>
      <c r="H5911" s="12" t="inlineStr">
        <is>
          <t>H2 21: rectifier transformer 1 (7 MVA)</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41</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K-I-0012</t>
        </is>
      </c>
      <c r="B5912" s="12" t="inlineStr">
        <is>
          <t>K</t>
        </is>
      </c>
      <c r="C5912" s="12" t="inlineStr">
        <is>
          <t>Fuel supply (adjacent market)</t>
        </is>
      </c>
      <c r="D5912" s="12" t="inlineStr">
        <is>
          <t>Home run JB-H2 21: rectifier t-DI01 to the control / marshalling room</t>
        </is>
      </c>
      <c r="E5912" s="12" t="inlineStr"/>
      <c r="F5912" s="12" t="inlineStr">
        <is>
          <t>H2 20: 13.8 kV e-house</t>
        </is>
      </c>
      <c r="G5912" s="12" t="inlineStr">
        <is>
          <t>JB-H2 21: rectifier t-DI01</t>
        </is>
      </c>
      <c r="H5912" s="12" t="inlineStr">
        <is>
          <t>H2 21: rectifier transformer 1 (7 MVA)</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356</v>
      </c>
      <c r="U5912" s="15" t="n">
        <v>48</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K-I-0013</t>
        </is>
      </c>
      <c r="B5913" s="12" t="inlineStr">
        <is>
          <t>K</t>
        </is>
      </c>
      <c r="C5913" s="12" t="inlineStr">
        <is>
          <t>Fuel supply (adjacent market)</t>
        </is>
      </c>
      <c r="D5913" s="12" t="inlineStr">
        <is>
          <t>Analog instrument to JB JB-H2 21: rectifier t-AI01: 12 x 1 pr (field cables)</t>
        </is>
      </c>
      <c r="E5913" s="12" t="inlineStr"/>
      <c r="F5913" s="12" t="inlineStr">
        <is>
          <t>H2 21: rectifier transformer 2 (7 MVA)</t>
        </is>
      </c>
      <c r="G5913" s="12" t="inlineStr">
        <is>
          <t>JB-H2 21: rectifier t-AI01</t>
        </is>
      </c>
      <c r="H5913" s="12" t="inlineStr">
        <is>
          <t>H2 21: rectifier transformer 2 (7 MVA)</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41</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K-I-0014</t>
        </is>
      </c>
      <c r="B5914" s="12" t="inlineStr">
        <is>
          <t>K</t>
        </is>
      </c>
      <c r="C5914" s="12" t="inlineStr">
        <is>
          <t>Fuel supply (adjacent market)</t>
        </is>
      </c>
      <c r="D5914" s="12" t="inlineStr">
        <is>
          <t>Home run JB-H2 21: rectifier t-AI01 to the control / marshalling room</t>
        </is>
      </c>
      <c r="E5914" s="12" t="inlineStr"/>
      <c r="F5914" s="12" t="inlineStr">
        <is>
          <t>H2 20: 13.8 kV e-house</t>
        </is>
      </c>
      <c r="G5914" s="12" t="inlineStr">
        <is>
          <t>JB-H2 21: rectifier t-AI01</t>
        </is>
      </c>
      <c r="H5914" s="12" t="inlineStr">
        <is>
          <t>H2 21: rectifier transformer 2 (7 MVA)</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356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K-I-0015</t>
        </is>
      </c>
      <c r="B5915" s="12" t="inlineStr">
        <is>
          <t>K</t>
        </is>
      </c>
      <c r="C5915" s="12" t="inlineStr">
        <is>
          <t>Fuel supply (adjacent market)</t>
        </is>
      </c>
      <c r="D5915" s="12" t="inlineStr">
        <is>
          <t>Discrete device to JB JB-H2 21: rectifier t-DI01: 12 x 1 pr (field cables)</t>
        </is>
      </c>
      <c r="E5915" s="12" t="inlineStr"/>
      <c r="F5915" s="12" t="inlineStr">
        <is>
          <t>H2 21: rectifier transformer 2 (7 MVA)</t>
        </is>
      </c>
      <c r="G5915" s="12" t="inlineStr">
        <is>
          <t>JB-H2 21: rectifier t-DI01</t>
        </is>
      </c>
      <c r="H5915" s="12" t="inlineStr">
        <is>
          <t>H2 21: rectifier transformer 2 (7 MVA)</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41</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K-I-0016</t>
        </is>
      </c>
      <c r="B5916" s="12" t="inlineStr">
        <is>
          <t>K</t>
        </is>
      </c>
      <c r="C5916" s="12" t="inlineStr">
        <is>
          <t>Fuel supply (adjacent market)</t>
        </is>
      </c>
      <c r="D5916" s="12" t="inlineStr">
        <is>
          <t>Home run JB-H2 21: rectifier t-DI01 to the control / marshalling room</t>
        </is>
      </c>
      <c r="E5916" s="12" t="inlineStr"/>
      <c r="F5916" s="12" t="inlineStr">
        <is>
          <t>H2 20: 13.8 kV e-house</t>
        </is>
      </c>
      <c r="G5916" s="12" t="inlineStr">
        <is>
          <t>JB-H2 21: rectifier t-DI01</t>
        </is>
      </c>
      <c r="H5916" s="12" t="inlineStr">
        <is>
          <t>H2 21: rectifier transformer 2 (7 MVA)</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356</v>
      </c>
      <c r="U5916" s="15" t="n">
        <v>32</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K-I-0017</t>
        </is>
      </c>
      <c r="B5917" s="12" t="inlineStr">
        <is>
          <t>K</t>
        </is>
      </c>
      <c r="C5917" s="12" t="inlineStr">
        <is>
          <t>Fuel supply (adjacent market)</t>
        </is>
      </c>
      <c r="D5917" s="12" t="inlineStr">
        <is>
          <t>Analog instrument to JB JB-H2 21: rectifier t-AI01: 12 x 1 pr (field cables)</t>
        </is>
      </c>
      <c r="E5917" s="12" t="inlineStr"/>
      <c r="F5917" s="12" t="inlineStr">
        <is>
          <t>H2 21: rectifier transformer 3 (7 MVA)</t>
        </is>
      </c>
      <c r="G5917" s="12" t="inlineStr">
        <is>
          <t>JB-H2 21: rectifier t-AI01</t>
        </is>
      </c>
      <c r="H5917" s="12" t="inlineStr">
        <is>
          <t>H2 21: rectifier transformer 3 (7 MVA)</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41</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K-I-0018</t>
        </is>
      </c>
      <c r="B5918" s="12" t="inlineStr">
        <is>
          <t>K</t>
        </is>
      </c>
      <c r="C5918" s="12" t="inlineStr">
        <is>
          <t>Fuel supply (adjacent market)</t>
        </is>
      </c>
      <c r="D5918" s="12" t="inlineStr">
        <is>
          <t>Home run JB-H2 21: rectifier t-AI01 to the control / marshalling room</t>
        </is>
      </c>
      <c r="E5918" s="12" t="inlineStr"/>
      <c r="F5918" s="12" t="inlineStr">
        <is>
          <t>H2 20: 13.8 kV e-house</t>
        </is>
      </c>
      <c r="G5918" s="12" t="inlineStr">
        <is>
          <t>JB-H2 21: rectifier t-AI01</t>
        </is>
      </c>
      <c r="H5918" s="12" t="inlineStr">
        <is>
          <t>H2 21: rectifier transformer 3 (7 MVA)</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334</v>
      </c>
      <c r="U5918" s="15" t="n">
        <v>32</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K-I-0019</t>
        </is>
      </c>
      <c r="B5919" s="12" t="inlineStr">
        <is>
          <t>K</t>
        </is>
      </c>
      <c r="C5919" s="12" t="inlineStr">
        <is>
          <t>Fuel supply (adjacent market)</t>
        </is>
      </c>
      <c r="D5919" s="12" t="inlineStr">
        <is>
          <t>Discrete device to JB JB-H2 21: rectifier t-DI01: 12 x 1 pr (field cables)</t>
        </is>
      </c>
      <c r="E5919" s="12" t="inlineStr"/>
      <c r="F5919" s="12" t="inlineStr">
        <is>
          <t>H2 21: rectifier transformer 3 (7 MVA)</t>
        </is>
      </c>
      <c r="G5919" s="12" t="inlineStr">
        <is>
          <t>JB-H2 21: rectifier t-DI01</t>
        </is>
      </c>
      <c r="H5919" s="12" t="inlineStr">
        <is>
          <t>H2 21: rectifier transformer 3 (7 MVA)</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41</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K-I-0020</t>
        </is>
      </c>
      <c r="B5920" s="12" t="inlineStr">
        <is>
          <t>K</t>
        </is>
      </c>
      <c r="C5920" s="12" t="inlineStr">
        <is>
          <t>Fuel supply (adjacent market)</t>
        </is>
      </c>
      <c r="D5920" s="12" t="inlineStr">
        <is>
          <t>Home run JB-H2 21: rectifier t-DI01 to the control / marshalling room</t>
        </is>
      </c>
      <c r="E5920" s="12" t="inlineStr"/>
      <c r="F5920" s="12" t="inlineStr">
        <is>
          <t>H2 20: 13.8 kV e-house</t>
        </is>
      </c>
      <c r="G5920" s="12" t="inlineStr">
        <is>
          <t>JB-H2 21: rectifier t-DI01</t>
        </is>
      </c>
      <c r="H5920" s="12" t="inlineStr">
        <is>
          <t>H2 21: rectifier transformer 3 (7 MVA)</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334</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K-I-0021</t>
        </is>
      </c>
      <c r="B5921" s="12" t="inlineStr">
        <is>
          <t>K</t>
        </is>
      </c>
      <c r="C5921" s="12" t="inlineStr">
        <is>
          <t>Fuel supply (adjacent market)</t>
        </is>
      </c>
      <c r="D5921" s="12" t="inlineStr">
        <is>
          <t>Analog instrument to JB JB-H2 21: rectifier t-AI01: 12 x 1 pr (field cables)</t>
        </is>
      </c>
      <c r="E5921" s="12" t="inlineStr"/>
      <c r="F5921" s="12" t="inlineStr">
        <is>
          <t>H2 21: rectifier transformer 4 (7 MVA)</t>
        </is>
      </c>
      <c r="G5921" s="12" t="inlineStr">
        <is>
          <t>JB-H2 21: rectifier t-AI01</t>
        </is>
      </c>
      <c r="H5921" s="12" t="inlineStr">
        <is>
          <t>H2 21: rectifier transformer 4 (7 MVA)</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41</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K-I-0022</t>
        </is>
      </c>
      <c r="B5922" s="12" t="inlineStr">
        <is>
          <t>K</t>
        </is>
      </c>
      <c r="C5922" s="12" t="inlineStr">
        <is>
          <t>Fuel supply (adjacent market)</t>
        </is>
      </c>
      <c r="D5922" s="12" t="inlineStr">
        <is>
          <t>Home run JB-H2 21: rectifier t-AI01 to the control / marshalling room</t>
        </is>
      </c>
      <c r="E5922" s="12" t="inlineStr"/>
      <c r="F5922" s="12" t="inlineStr">
        <is>
          <t>H2 20: 13.8 kV e-house</t>
        </is>
      </c>
      <c r="G5922" s="12" t="inlineStr">
        <is>
          <t>JB-H2 21: rectifier t-AI01</t>
        </is>
      </c>
      <c r="H5922" s="12" t="inlineStr">
        <is>
          <t>H2 21: rectifier transformer 4 (7 MVA)</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312</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K-I-0023</t>
        </is>
      </c>
      <c r="B5923" s="12" t="inlineStr">
        <is>
          <t>K</t>
        </is>
      </c>
      <c r="C5923" s="12" t="inlineStr">
        <is>
          <t>Fuel supply (adjacent market)</t>
        </is>
      </c>
      <c r="D5923" s="12" t="inlineStr">
        <is>
          <t>Discrete device to JB JB-H2 21: rectifier t-DI01: 12 x 1 pr (field cables)</t>
        </is>
      </c>
      <c r="E5923" s="12" t="inlineStr"/>
      <c r="F5923" s="12" t="inlineStr">
        <is>
          <t>H2 21: rectifier transformer 4 (7 MVA)</t>
        </is>
      </c>
      <c r="G5923" s="12" t="inlineStr">
        <is>
          <t>JB-H2 21: rectifier t-DI01</t>
        </is>
      </c>
      <c r="H5923" s="12" t="inlineStr">
        <is>
          <t>H2 21: rectifier transformer 4 (7 MVA)</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41</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K-I-0024</t>
        </is>
      </c>
      <c r="B5924" s="12" t="inlineStr">
        <is>
          <t>K</t>
        </is>
      </c>
      <c r="C5924" s="12" t="inlineStr">
        <is>
          <t>Fuel supply (adjacent market)</t>
        </is>
      </c>
      <c r="D5924" s="12" t="inlineStr">
        <is>
          <t>Home run JB-H2 21: rectifier t-DI01 to the control / marshalling room</t>
        </is>
      </c>
      <c r="E5924" s="12" t="inlineStr"/>
      <c r="F5924" s="12" t="inlineStr">
        <is>
          <t>H2 20: 13.8 kV e-house</t>
        </is>
      </c>
      <c r="G5924" s="12" t="inlineStr">
        <is>
          <t>JB-H2 21: rectifier t-DI01</t>
        </is>
      </c>
      <c r="H5924" s="12" t="inlineStr">
        <is>
          <t>H2 21: rectifier transformer 4 (7 MVA)</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312</v>
      </c>
      <c r="U5924" s="15" t="n">
        <v>32</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K-I-0025</t>
        </is>
      </c>
      <c r="B5925" s="12" t="inlineStr">
        <is>
          <t>K</t>
        </is>
      </c>
      <c r="C5925" s="12" t="inlineStr">
        <is>
          <t>Fuel supply (adjacent market)</t>
        </is>
      </c>
      <c r="D5925" s="12" t="inlineStr">
        <is>
          <t>Analog instrument to JB JB-H2 21: rectifier t-AI01: 12 x 1 pr (field cables)</t>
        </is>
      </c>
      <c r="E5925" s="12" t="inlineStr"/>
      <c r="F5925" s="12" t="inlineStr">
        <is>
          <t>H2 21: rectifier transformer 5 (7 MVA)</t>
        </is>
      </c>
      <c r="G5925" s="12" t="inlineStr">
        <is>
          <t>JB-H2 21: rectifier t-AI01</t>
        </is>
      </c>
      <c r="H5925" s="12" t="inlineStr">
        <is>
          <t>H2 21: rectifier transformer 5 (7 MVA)</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41</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K-I-0026</t>
        </is>
      </c>
      <c r="B5926" s="12" t="inlineStr">
        <is>
          <t>K</t>
        </is>
      </c>
      <c r="C5926" s="12" t="inlineStr">
        <is>
          <t>Fuel supply (adjacent market)</t>
        </is>
      </c>
      <c r="D5926" s="12" t="inlineStr">
        <is>
          <t>Home run JB-H2 21: rectifier t-AI01 to the control / marshalling room</t>
        </is>
      </c>
      <c r="E5926" s="12" t="inlineStr"/>
      <c r="F5926" s="12" t="inlineStr">
        <is>
          <t>H2 20: 13.8 kV e-house</t>
        </is>
      </c>
      <c r="G5926" s="12" t="inlineStr">
        <is>
          <t>JB-H2 21: rectifier t-AI01</t>
        </is>
      </c>
      <c r="H5926" s="12" t="inlineStr">
        <is>
          <t>H2 21: rectifier transformer 5 (7 MVA)</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254</v>
      </c>
      <c r="U5926" s="15" t="n">
        <v>32</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K-I-0027</t>
        </is>
      </c>
      <c r="B5927" s="12" t="inlineStr">
        <is>
          <t>K</t>
        </is>
      </c>
      <c r="C5927" s="12" t="inlineStr">
        <is>
          <t>Fuel supply (adjacent market)</t>
        </is>
      </c>
      <c r="D5927" s="12" t="inlineStr">
        <is>
          <t>Discrete device to JB JB-H2 21: rectifier t-DI01: 12 x 1 pr (field cables)</t>
        </is>
      </c>
      <c r="E5927" s="12" t="inlineStr"/>
      <c r="F5927" s="12" t="inlineStr">
        <is>
          <t>H2 21: rectifier transformer 5 (7 MVA)</t>
        </is>
      </c>
      <c r="G5927" s="12" t="inlineStr">
        <is>
          <t>JB-H2 21: rectifier t-DI01</t>
        </is>
      </c>
      <c r="H5927" s="12" t="inlineStr">
        <is>
          <t>H2 21: rectifier transformer 5 (7 MVA)</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41</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K-I-0028</t>
        </is>
      </c>
      <c r="B5928" s="12" t="inlineStr">
        <is>
          <t>K</t>
        </is>
      </c>
      <c r="C5928" s="12" t="inlineStr">
        <is>
          <t>Fuel supply (adjacent market)</t>
        </is>
      </c>
      <c r="D5928" s="12" t="inlineStr">
        <is>
          <t>Home run JB-H2 21: rectifier t-DI01 to the control / marshalling room</t>
        </is>
      </c>
      <c r="E5928" s="12" t="inlineStr"/>
      <c r="F5928" s="12" t="inlineStr">
        <is>
          <t>H2 20: 13.8 kV e-house</t>
        </is>
      </c>
      <c r="G5928" s="12" t="inlineStr">
        <is>
          <t>JB-H2 21: rectifier t-DI01</t>
        </is>
      </c>
      <c r="H5928" s="12" t="inlineStr">
        <is>
          <t>H2 21: rectifier transformer 5 (7 MVA)</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254</v>
      </c>
      <c r="U5928" s="15" t="n">
        <v>32</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K-I-0029</t>
        </is>
      </c>
      <c r="B5929" s="12" t="inlineStr">
        <is>
          <t>K</t>
        </is>
      </c>
      <c r="C5929" s="12" t="inlineStr">
        <is>
          <t>Fuel supply (adjacent market)</t>
        </is>
      </c>
      <c r="D5929" s="12" t="inlineStr">
        <is>
          <t>Analog instrument to JB JB-H2-EL-AI01: 12 x 1 pr (field cables)</t>
        </is>
      </c>
      <c r="E5929" s="12" t="inlineStr">
        <is>
          <t>H2-EL</t>
        </is>
      </c>
      <c r="F5929" s="12" t="inlineStr">
        <is>
          <t>H2 22: electrolyzer building (5 x 5 MW PEM + 5 rectifiers)</t>
        </is>
      </c>
      <c r="G5929" s="12" t="inlineStr">
        <is>
          <t>JB-H2-EL-AI01</t>
        </is>
      </c>
      <c r="H5929" s="12" t="inlineStr">
        <is>
          <t>H2 22: electrolyzer building (5 x 5 MW PEM + 5 rectifiers)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157</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K-I-0030</t>
        </is>
      </c>
      <c r="B5930" s="12" t="inlineStr">
        <is>
          <t>K</t>
        </is>
      </c>
      <c r="C5930" s="12" t="inlineStr">
        <is>
          <t>Fuel supply (adjacent market)</t>
        </is>
      </c>
      <c r="D5930" s="12" t="inlineStr">
        <is>
          <t>Home run JB-H2-EL-AI01 to the control / marshalling room</t>
        </is>
      </c>
      <c r="E5930" s="12" t="inlineStr"/>
      <c r="F5930" s="12" t="inlineStr">
        <is>
          <t>H2 20: 13.8 kV e-house</t>
        </is>
      </c>
      <c r="G5930" s="12" t="inlineStr">
        <is>
          <t>JB-H2-EL-AI01</t>
        </is>
      </c>
      <c r="H5930" s="12" t="inlineStr">
        <is>
          <t>H2 22: electrolyzer building (5 x 5 MW PEM + 5 rectifiers)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346</v>
      </c>
      <c r="U5930" s="15" t="n">
        <v>32</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K-I-0031</t>
        </is>
      </c>
      <c r="B5931" s="12" t="inlineStr">
        <is>
          <t>K</t>
        </is>
      </c>
      <c r="C5931" s="12" t="inlineStr">
        <is>
          <t>Fuel supply (adjacent market)</t>
        </is>
      </c>
      <c r="D5931" s="12" t="inlineStr">
        <is>
          <t>Discrete device to JB JB-H2-EL-DI01: 12 x 1 pr (field cables)</t>
        </is>
      </c>
      <c r="E5931" s="12" t="inlineStr">
        <is>
          <t>H2-EL</t>
        </is>
      </c>
      <c r="F5931" s="12" t="inlineStr">
        <is>
          <t>H2 22: electrolyzer building (5 x 5 MW PEM + 5 rectifiers)</t>
        </is>
      </c>
      <c r="G5931" s="12" t="inlineStr">
        <is>
          <t>JB-H2-EL-DI01</t>
        </is>
      </c>
      <c r="H5931" s="12" t="inlineStr">
        <is>
          <t>H2 22: electrolyzer building (5 x 5 MW PEM + 5 rectifiers)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157</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K-I-0032</t>
        </is>
      </c>
      <c r="B5932" s="12" t="inlineStr">
        <is>
          <t>K</t>
        </is>
      </c>
      <c r="C5932" s="12" t="inlineStr">
        <is>
          <t>Fuel supply (adjacent market)</t>
        </is>
      </c>
      <c r="D5932" s="12" t="inlineStr">
        <is>
          <t>Home run JB-H2-EL-DI01 to the control / marshalling room</t>
        </is>
      </c>
      <c r="E5932" s="12" t="inlineStr"/>
      <c r="F5932" s="12" t="inlineStr">
        <is>
          <t>H2 20: 13.8 kV e-house</t>
        </is>
      </c>
      <c r="G5932" s="12" t="inlineStr">
        <is>
          <t>JB-H2-EL-DI01</t>
        </is>
      </c>
      <c r="H5932" s="12" t="inlineStr">
        <is>
          <t>H2 22: electrolyzer building (5 x 5 MW PEM + 5 rectifiers)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346</v>
      </c>
      <c r="U5932" s="15" t="n">
        <v>32</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K-I-0033</t>
        </is>
      </c>
      <c r="B5933" s="12" t="inlineStr">
        <is>
          <t>K</t>
        </is>
      </c>
      <c r="C5933" s="12" t="inlineStr">
        <is>
          <t>Fuel supply (adjacent market)</t>
        </is>
      </c>
      <c r="D5933" s="12" t="inlineStr">
        <is>
          <t>Analog instrument to JB JB-H2 23: dry coolers-AI01: 12 x 1 pr (field cables)</t>
        </is>
      </c>
      <c r="E5933" s="12" t="inlineStr"/>
      <c r="F5933" s="12" t="inlineStr">
        <is>
          <t>H2 23: dry coolers</t>
        </is>
      </c>
      <c r="G5933" s="12" t="inlineStr">
        <is>
          <t>JB-H2 23: dry coolers-AI01</t>
        </is>
      </c>
      <c r="H5933" s="12" t="inlineStr">
        <is>
          <t>H2 23: dry coolers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111</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K-I-0034</t>
        </is>
      </c>
      <c r="B5934" s="12" t="inlineStr">
        <is>
          <t>K</t>
        </is>
      </c>
      <c r="C5934" s="12" t="inlineStr">
        <is>
          <t>Fuel supply (adjacent market)</t>
        </is>
      </c>
      <c r="D5934" s="12" t="inlineStr">
        <is>
          <t>Home run JB-H2 23: dry coolers-AI01 to the control / marshalling room</t>
        </is>
      </c>
      <c r="E5934" s="12" t="inlineStr"/>
      <c r="F5934" s="12" t="inlineStr">
        <is>
          <t>H2 20: 13.8 kV e-house</t>
        </is>
      </c>
      <c r="G5934" s="12" t="inlineStr">
        <is>
          <t>JB-H2 23: dry coolers-AI01</t>
        </is>
      </c>
      <c r="H5934" s="12" t="inlineStr">
        <is>
          <t>H2 23: dry coolers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100</v>
      </c>
      <c r="U5934" s="15" t="n">
        <v>32</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K-I-0035</t>
        </is>
      </c>
      <c r="B5935" s="12" t="inlineStr">
        <is>
          <t>K</t>
        </is>
      </c>
      <c r="C5935" s="12" t="inlineStr">
        <is>
          <t>Fuel supply (adjacent market)</t>
        </is>
      </c>
      <c r="D5935" s="12" t="inlineStr">
        <is>
          <t>Discrete device to JB JB-H2 23: dry coolers-DI01: 12 x 1 pr (field cables)</t>
        </is>
      </c>
      <c r="E5935" s="12" t="inlineStr"/>
      <c r="F5935" s="12" t="inlineStr">
        <is>
          <t>H2 23: dry coolers</t>
        </is>
      </c>
      <c r="G5935" s="12" t="inlineStr">
        <is>
          <t>JB-H2 23: dry coolers-DI01</t>
        </is>
      </c>
      <c r="H5935" s="12" t="inlineStr">
        <is>
          <t>H2 23: dry coolers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111</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K-I-0036</t>
        </is>
      </c>
      <c r="B5936" s="12" t="inlineStr">
        <is>
          <t>K</t>
        </is>
      </c>
      <c r="C5936" s="12" t="inlineStr">
        <is>
          <t>Fuel supply (adjacent market)</t>
        </is>
      </c>
      <c r="D5936" s="12" t="inlineStr">
        <is>
          <t>Home run JB-H2 23: dry coolers-DI01 to the control / marshalling room</t>
        </is>
      </c>
      <c r="E5936" s="12" t="inlineStr"/>
      <c r="F5936" s="12" t="inlineStr">
        <is>
          <t>H2 20: 13.8 kV e-house</t>
        </is>
      </c>
      <c r="G5936" s="12" t="inlineStr">
        <is>
          <t>JB-H2 23: dry coolers-DI01</t>
        </is>
      </c>
      <c r="H5936" s="12" t="inlineStr">
        <is>
          <t>H2 23: dry coolers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100</v>
      </c>
      <c r="U5936" s="15" t="n">
        <v>32</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K-I-0037</t>
        </is>
      </c>
      <c r="B5937" s="12" t="inlineStr">
        <is>
          <t>K</t>
        </is>
      </c>
      <c r="C5937" s="12" t="inlineStr">
        <is>
          <t>Fuel supply (adjacent market)</t>
        </is>
      </c>
      <c r="D5937" s="12" t="inlineStr">
        <is>
          <t>Analog instrument to JB JB-H2 24: water purif-AI01: 12 x 1 pr (field cables)</t>
        </is>
      </c>
      <c r="E5937" s="12" t="inlineStr"/>
      <c r="F5937" s="12" t="inlineStr">
        <is>
          <t>H2 24: water purification (RO / EDI)</t>
        </is>
      </c>
      <c r="G5937" s="12" t="inlineStr">
        <is>
          <t>JB-H2 24: water purif-AI01</t>
        </is>
      </c>
      <c r="H5937" s="12" t="inlineStr">
        <is>
          <t>H2 24: water purification (RO / EDI)</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60</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K-I-0038</t>
        </is>
      </c>
      <c r="B5938" s="12" t="inlineStr">
        <is>
          <t>K</t>
        </is>
      </c>
      <c r="C5938" s="12" t="inlineStr">
        <is>
          <t>Fuel supply (adjacent market)</t>
        </is>
      </c>
      <c r="D5938" s="12" t="inlineStr">
        <is>
          <t>Home run JB-H2 24: water purif-AI01 to the control / marshalling room</t>
        </is>
      </c>
      <c r="E5938" s="12" t="inlineStr"/>
      <c r="F5938" s="12" t="inlineStr">
        <is>
          <t>H2 20: 13.8 kV e-house</t>
        </is>
      </c>
      <c r="G5938" s="12" t="inlineStr">
        <is>
          <t>JB-H2 24: water purif-AI01</t>
        </is>
      </c>
      <c r="H5938" s="12" t="inlineStr">
        <is>
          <t>H2 24: water purification (RO / EDI)</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146</v>
      </c>
      <c r="U5938" s="15" t="n">
        <v>32</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K-I-0039</t>
        </is>
      </c>
      <c r="B5939" s="12" t="inlineStr">
        <is>
          <t>K</t>
        </is>
      </c>
      <c r="C5939" s="12" t="inlineStr">
        <is>
          <t>Fuel supply (adjacent market)</t>
        </is>
      </c>
      <c r="D5939" s="12" t="inlineStr">
        <is>
          <t>Discrete device to JB JB-H2 24: water purif-DI01: 12 x 1 pr (field cables)</t>
        </is>
      </c>
      <c r="E5939" s="12" t="inlineStr"/>
      <c r="F5939" s="12" t="inlineStr">
        <is>
          <t>H2 24: water purification (RO / EDI)</t>
        </is>
      </c>
      <c r="G5939" s="12" t="inlineStr">
        <is>
          <t>JB-H2 24: water purif-DI01</t>
        </is>
      </c>
      <c r="H5939" s="12" t="inlineStr">
        <is>
          <t>H2 24: water purification (RO / EDI)</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60</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K-I-0040</t>
        </is>
      </c>
      <c r="B5940" s="12" t="inlineStr">
        <is>
          <t>K</t>
        </is>
      </c>
      <c r="C5940" s="12" t="inlineStr">
        <is>
          <t>Fuel supply (adjacent market)</t>
        </is>
      </c>
      <c r="D5940" s="12" t="inlineStr">
        <is>
          <t>Home run JB-H2 24: water purif-DI01 to the control / marshalling room</t>
        </is>
      </c>
      <c r="E5940" s="12" t="inlineStr"/>
      <c r="F5940" s="12" t="inlineStr">
        <is>
          <t>H2 20: 13.8 kV e-house</t>
        </is>
      </c>
      <c r="G5940" s="12" t="inlineStr">
        <is>
          <t>JB-H2 24: water purif-DI01</t>
        </is>
      </c>
      <c r="H5940" s="12" t="inlineStr">
        <is>
          <t>H2 24: water purification (RO / EDI)</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146</v>
      </c>
      <c r="U5940" s="15" t="n">
        <v>32</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K-I-0041</t>
        </is>
      </c>
      <c r="B5941" s="12" t="inlineStr">
        <is>
          <t>K</t>
        </is>
      </c>
      <c r="C5941" s="12" t="inlineStr">
        <is>
          <t>Fuel supply (adjacent market)</t>
        </is>
      </c>
      <c r="D5941" s="12" t="inlineStr">
        <is>
          <t>Analog instrument to JB JB-H2 25: H2 dryer / -AI01: 12 x 1 pr (field cables)</t>
        </is>
      </c>
      <c r="E5941" s="12" t="inlineStr"/>
      <c r="F5941" s="12" t="inlineStr">
        <is>
          <t>H2 25: H2 dryer / purification</t>
        </is>
      </c>
      <c r="G5941" s="12" t="inlineStr">
        <is>
          <t>JB-H2 25: H2 dryer / -AI01</t>
        </is>
      </c>
      <c r="H5941" s="12" t="inlineStr">
        <is>
          <t>H2 25: H2 dryer / purification</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60</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K-I-0042</t>
        </is>
      </c>
      <c r="B5942" s="12" t="inlineStr">
        <is>
          <t>K</t>
        </is>
      </c>
      <c r="C5942" s="12" t="inlineStr">
        <is>
          <t>Fuel supply (adjacent market)</t>
        </is>
      </c>
      <c r="D5942" s="12" t="inlineStr">
        <is>
          <t>Home run JB-H2 25: H2 dryer / -AI01 to the control / marshalling room</t>
        </is>
      </c>
      <c r="E5942" s="12" t="inlineStr"/>
      <c r="F5942" s="12" t="inlineStr">
        <is>
          <t>H2 20: 13.8 kV e-house</t>
        </is>
      </c>
      <c r="G5942" s="12" t="inlineStr">
        <is>
          <t>JB-H2 25: H2 dryer / -AI01</t>
        </is>
      </c>
      <c r="H5942" s="12" t="inlineStr">
        <is>
          <t>H2 25: H2 dryer / purification</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0</v>
      </c>
      <c r="U5942" s="15" t="n">
        <v>49</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K-I-0043</t>
        </is>
      </c>
      <c r="B5943" s="12" t="inlineStr">
        <is>
          <t>K</t>
        </is>
      </c>
      <c r="C5943" s="12" t="inlineStr">
        <is>
          <t>Fuel supply (adjacent market)</t>
        </is>
      </c>
      <c r="D5943" s="12" t="inlineStr">
        <is>
          <t>Discrete device to JB JB-H2 25: H2 dryer / -DI01: 12 x 1 pr (field cables)</t>
        </is>
      </c>
      <c r="E5943" s="12" t="inlineStr"/>
      <c r="F5943" s="12" t="inlineStr">
        <is>
          <t>H2 25: H2 dryer / purification</t>
        </is>
      </c>
      <c r="G5943" s="12" t="inlineStr">
        <is>
          <t>JB-H2 25: H2 dryer / -DI01</t>
        </is>
      </c>
      <c r="H5943" s="12" t="inlineStr">
        <is>
          <t>H2 25: H2 dryer / purification</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60</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K-I-0044</t>
        </is>
      </c>
      <c r="B5944" s="12" t="inlineStr">
        <is>
          <t>K</t>
        </is>
      </c>
      <c r="C5944" s="12" t="inlineStr">
        <is>
          <t>Fuel supply (adjacent market)</t>
        </is>
      </c>
      <c r="D5944" s="12" t="inlineStr">
        <is>
          <t>Home run JB-H2 25: H2 dryer / -DI01 to the control / marshalling room</t>
        </is>
      </c>
      <c r="E5944" s="12" t="inlineStr"/>
      <c r="F5944" s="12" t="inlineStr">
        <is>
          <t>H2 20: 13.8 kV e-house</t>
        </is>
      </c>
      <c r="G5944" s="12" t="inlineStr">
        <is>
          <t>JB-H2 25: H2 dryer / -DI01</t>
        </is>
      </c>
      <c r="H5944" s="12" t="inlineStr">
        <is>
          <t>H2 25: H2 dryer / purification</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0</v>
      </c>
      <c r="U5944" s="15" t="n">
        <v>49</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K-I-0045</t>
        </is>
      </c>
      <c r="B5945" s="12" t="inlineStr">
        <is>
          <t>K</t>
        </is>
      </c>
      <c r="C5945" s="12" t="inlineStr">
        <is>
          <t>Fuel supply (adjacent market)</t>
        </is>
      </c>
      <c r="D5945" s="12" t="inlineStr">
        <is>
          <t>Analog instrument to JB JB-H2 26: H2 compress-AI01: 12 x 1 pr (field cables)</t>
        </is>
      </c>
      <c r="E5945" s="12" t="inlineStr"/>
      <c r="F5945" s="12" t="inlineStr">
        <is>
          <t>H2 26: H2 compressor 1 (40 ft ISO)</t>
        </is>
      </c>
      <c r="G5945" s="12" t="inlineStr">
        <is>
          <t>JB-H2 26: H2 compress-AI01</t>
        </is>
      </c>
      <c r="H5945" s="12" t="inlineStr">
        <is>
          <t>H2 26: H2 compressor 1 (40 ft ISO)</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53</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K-I-0046</t>
        </is>
      </c>
      <c r="B5946" s="12" t="inlineStr">
        <is>
          <t>K</t>
        </is>
      </c>
      <c r="C5946" s="12" t="inlineStr">
        <is>
          <t>Fuel supply (adjacent market)</t>
        </is>
      </c>
      <c r="D5946" s="12" t="inlineStr">
        <is>
          <t>Home run JB-H2 26: H2 compress-AI01 to the control / marshalling room</t>
        </is>
      </c>
      <c r="E5946" s="12" t="inlineStr"/>
      <c r="F5946" s="12" t="inlineStr">
        <is>
          <t>H2 20: 13.8 kV e-house</t>
        </is>
      </c>
      <c r="G5946" s="12" t="inlineStr">
        <is>
          <t>JB-H2 26: H2 compress-AI01</t>
        </is>
      </c>
      <c r="H5946" s="12" t="inlineStr">
        <is>
          <t>H2 26: H2 compressor 1 (40 ft ISO)</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50</v>
      </c>
      <c r="U5946" s="15" t="n">
        <v>32</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K-I-0047</t>
        </is>
      </c>
      <c r="B5947" s="12" t="inlineStr">
        <is>
          <t>K</t>
        </is>
      </c>
      <c r="C5947" s="12" t="inlineStr">
        <is>
          <t>Fuel supply (adjacent market)</t>
        </is>
      </c>
      <c r="D5947" s="12" t="inlineStr">
        <is>
          <t>Discrete device to JB JB-H2 26: H2 compress-DI01: 12 x 1 pr (field cables)</t>
        </is>
      </c>
      <c r="E5947" s="12" t="inlineStr"/>
      <c r="F5947" s="12" t="inlineStr">
        <is>
          <t>H2 26: H2 compressor 1 (40 ft ISO)</t>
        </is>
      </c>
      <c r="G5947" s="12" t="inlineStr">
        <is>
          <t>JB-H2 26: H2 compress-DI01</t>
        </is>
      </c>
      <c r="H5947" s="12" t="inlineStr">
        <is>
          <t>H2 26: H2 compressor 1 (40 ft ISO)</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53</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K-I-0048</t>
        </is>
      </c>
      <c r="B5948" s="12" t="inlineStr">
        <is>
          <t>K</t>
        </is>
      </c>
      <c r="C5948" s="12" t="inlineStr">
        <is>
          <t>Fuel supply (adjacent market)</t>
        </is>
      </c>
      <c r="D5948" s="12" t="inlineStr">
        <is>
          <t>Home run JB-H2 26: H2 compress-DI01 to the control / marshalling room</t>
        </is>
      </c>
      <c r="E5948" s="12" t="inlineStr"/>
      <c r="F5948" s="12" t="inlineStr">
        <is>
          <t>H2 20: 13.8 kV e-house</t>
        </is>
      </c>
      <c r="G5948" s="12" t="inlineStr">
        <is>
          <t>JB-H2 26: H2 compress-DI01</t>
        </is>
      </c>
      <c r="H5948" s="12" t="inlineStr">
        <is>
          <t>H2 26: H2 compressor 1 (40 ft ISO)</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50</v>
      </c>
      <c r="U5948" s="15" t="n">
        <v>32</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K-I-0049</t>
        </is>
      </c>
      <c r="B5949" s="12" t="inlineStr">
        <is>
          <t>K</t>
        </is>
      </c>
      <c r="C5949" s="12" t="inlineStr">
        <is>
          <t>Fuel supply (adjacent market)</t>
        </is>
      </c>
      <c r="D5949" s="12" t="inlineStr">
        <is>
          <t>Analog instrument to JB JB-H2 26: H2 compress-AI01: 12 x 1 pr (field cables)</t>
        </is>
      </c>
      <c r="E5949" s="12" t="inlineStr"/>
      <c r="F5949" s="12" t="inlineStr">
        <is>
          <t>H2 26: H2 compressor 2 (40 ft ISO)</t>
        </is>
      </c>
      <c r="G5949" s="12" t="inlineStr">
        <is>
          <t>JB-H2 26: H2 compress-AI01</t>
        </is>
      </c>
      <c r="H5949" s="12" t="inlineStr">
        <is>
          <t>H2 26: H2 compressor 2 (40 ft ISO)</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53</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K-I-0050</t>
        </is>
      </c>
      <c r="B5950" s="12" t="inlineStr">
        <is>
          <t>K</t>
        </is>
      </c>
      <c r="C5950" s="12" t="inlineStr">
        <is>
          <t>Fuel supply (adjacent market)</t>
        </is>
      </c>
      <c r="D5950" s="12" t="inlineStr">
        <is>
          <t>Home run JB-H2 26: H2 compress-AI01 to the control / marshalling room</t>
        </is>
      </c>
      <c r="E5950" s="12" t="inlineStr"/>
      <c r="F5950" s="12" t="inlineStr">
        <is>
          <t>H2 20: 13.8 kV e-house</t>
        </is>
      </c>
      <c r="G5950" s="12" t="inlineStr">
        <is>
          <t>JB-H2 26: H2 compress-AI01</t>
        </is>
      </c>
      <c r="H5950" s="12" t="inlineStr">
        <is>
          <t>H2 26: H2 compressor 2 (40 ft ISO)</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50</v>
      </c>
      <c r="U5950" s="15" t="n">
        <v>47</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K-I-0051</t>
        </is>
      </c>
      <c r="B5951" s="12" t="inlineStr">
        <is>
          <t>K</t>
        </is>
      </c>
      <c r="C5951" s="12" t="inlineStr">
        <is>
          <t>Fuel supply (adjacent market)</t>
        </is>
      </c>
      <c r="D5951" s="12" t="inlineStr">
        <is>
          <t>Discrete device to JB JB-H2 26: H2 compress-DI01: 12 x 1 pr (field cables)</t>
        </is>
      </c>
      <c r="E5951" s="12" t="inlineStr"/>
      <c r="F5951" s="12" t="inlineStr">
        <is>
          <t>H2 26: H2 compressor 2 (40 ft ISO)</t>
        </is>
      </c>
      <c r="G5951" s="12" t="inlineStr">
        <is>
          <t>JB-H2 26: H2 compress-DI01</t>
        </is>
      </c>
      <c r="H5951" s="12" t="inlineStr">
        <is>
          <t>H2 26: H2 compressor 2 (40 ft ISO)</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53</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K-I-0052</t>
        </is>
      </c>
      <c r="B5952" s="12" t="inlineStr">
        <is>
          <t>K</t>
        </is>
      </c>
      <c r="C5952" s="12" t="inlineStr">
        <is>
          <t>Fuel supply (adjacent market)</t>
        </is>
      </c>
      <c r="D5952" s="12" t="inlineStr">
        <is>
          <t>Home run JB-H2 26: H2 compress-DI01 to the control / marshalling room</t>
        </is>
      </c>
      <c r="E5952" s="12" t="inlineStr"/>
      <c r="F5952" s="12" t="inlineStr">
        <is>
          <t>H2 20: 13.8 kV e-house</t>
        </is>
      </c>
      <c r="G5952" s="12" t="inlineStr">
        <is>
          <t>JB-H2 26: H2 compress-DI01</t>
        </is>
      </c>
      <c r="H5952" s="12" t="inlineStr">
        <is>
          <t>H2 26: H2 compressor 2 (40 ft ISO)</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50</v>
      </c>
      <c r="U5952" s="15" t="n">
        <v>47</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K-I-0053</t>
        </is>
      </c>
      <c r="B5953" s="12" t="inlineStr">
        <is>
          <t>K</t>
        </is>
      </c>
      <c r="C5953" s="12" t="inlineStr">
        <is>
          <t>Fuel supply (adjacent market)</t>
        </is>
      </c>
      <c r="D5953" s="12" t="inlineStr">
        <is>
          <t>Analog instrument to JB JB-H2 27: storage tub-AI01: 12 x 1 pr (field cables)</t>
        </is>
      </c>
      <c r="E5953" s="12" t="inlineStr"/>
      <c r="F5953" s="12" t="inlineStr">
        <is>
          <t>H2 27: storage tube bank (~40 ft tubes)</t>
        </is>
      </c>
      <c r="G5953" s="12" t="inlineStr">
        <is>
          <t>JB-H2 27: storage tub-AI01</t>
        </is>
      </c>
      <c r="H5953" s="12" t="inlineStr">
        <is>
          <t>H2 27: storage tube bank (~40 ft tubes)</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54</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K-I-0054</t>
        </is>
      </c>
      <c r="B5954" s="12" t="inlineStr">
        <is>
          <t>K</t>
        </is>
      </c>
      <c r="C5954" s="12" t="inlineStr">
        <is>
          <t>Fuel supply (adjacent market)</t>
        </is>
      </c>
      <c r="D5954" s="12" t="inlineStr">
        <is>
          <t>Home run JB-H2 27: storage tub-AI01 to the control / marshalling room</t>
        </is>
      </c>
      <c r="E5954" s="12" t="inlineStr"/>
      <c r="F5954" s="12" t="inlineStr">
        <is>
          <t>H2 20: 13.8 kV e-house</t>
        </is>
      </c>
      <c r="G5954" s="12" t="inlineStr">
        <is>
          <t>JB-H2 27: storage tub-AI01</t>
        </is>
      </c>
      <c r="H5954" s="12" t="inlineStr">
        <is>
          <t>H2 27: storage tube bank (~40 ft tubes)</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50</v>
      </c>
      <c r="U5954" s="15" t="n">
        <v>97</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K-I-0055</t>
        </is>
      </c>
      <c r="B5955" s="12" t="inlineStr">
        <is>
          <t>K</t>
        </is>
      </c>
      <c r="C5955" s="12" t="inlineStr">
        <is>
          <t>Fuel supply (adjacent market)</t>
        </is>
      </c>
      <c r="D5955" s="12" t="inlineStr">
        <is>
          <t>Discrete device to JB JB-H2 27: storage tub-DI01: 12 x 1 pr (field cables)</t>
        </is>
      </c>
      <c r="E5955" s="12" t="inlineStr"/>
      <c r="F5955" s="12" t="inlineStr">
        <is>
          <t>H2 27: storage tube bank (~40 ft tubes)</t>
        </is>
      </c>
      <c r="G5955" s="12" t="inlineStr">
        <is>
          <t>JB-H2 27: storage tub-DI01</t>
        </is>
      </c>
      <c r="H5955" s="12" t="inlineStr">
        <is>
          <t>H2 27: storage tube bank (~40 ft tubes)</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12</v>
      </c>
      <c r="O5955" s="12" t="n">
        <v>1</v>
      </c>
      <c r="P5955" s="12" t="n"/>
      <c r="Q5955" s="12" t="n"/>
      <c r="R5955" s="12" t="n"/>
      <c r="S5955" s="12" t="inlineStr">
        <is>
          <t>Tray / conduit</t>
        </is>
      </c>
      <c r="T5955" s="15" t="n">
        <v>54</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K-I-0056</t>
        </is>
      </c>
      <c r="B5956" s="12" t="inlineStr">
        <is>
          <t>K</t>
        </is>
      </c>
      <c r="C5956" s="12" t="inlineStr">
        <is>
          <t>Fuel supply (adjacent market)</t>
        </is>
      </c>
      <c r="D5956" s="12" t="inlineStr">
        <is>
          <t>Home run JB-H2 27: storage tub-DI01 to the control / marshalling room</t>
        </is>
      </c>
      <c r="E5956" s="12" t="inlineStr"/>
      <c r="F5956" s="12" t="inlineStr">
        <is>
          <t>H2 20: 13.8 kV e-house</t>
        </is>
      </c>
      <c r="G5956" s="12" t="inlineStr">
        <is>
          <t>JB-H2 27: storage tub-DI01</t>
        </is>
      </c>
      <c r="H5956" s="12" t="inlineStr">
        <is>
          <t>H2 27: storage tube bank (~40 ft tubes)</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50</v>
      </c>
      <c r="U5956" s="15" t="n">
        <v>97</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K-I-0057</t>
        </is>
      </c>
      <c r="B5957" s="12" t="inlineStr">
        <is>
          <t>K</t>
        </is>
      </c>
      <c r="C5957" s="12" t="inlineStr">
        <is>
          <t>Fuel supply (adjacent market)</t>
        </is>
      </c>
      <c r="D5957" s="12" t="inlineStr">
        <is>
          <t>Analog instrument to JB JB-H2 27: storage tub-AI01: 12 x 1 pr (field cables)</t>
        </is>
      </c>
      <c r="E5957" s="12" t="inlineStr"/>
      <c r="F5957" s="12" t="inlineStr">
        <is>
          <t>H2 27: storage tube bank (~40 ft tubes)</t>
        </is>
      </c>
      <c r="G5957" s="12" t="inlineStr">
        <is>
          <t>JB-H2 27: storage tub-AI01</t>
        </is>
      </c>
      <c r="H5957" s="12" t="inlineStr">
        <is>
          <t>H2 27: storage tube bank (~40 ft tubes)</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12</v>
      </c>
      <c r="O5957" s="12" t="n">
        <v>1</v>
      </c>
      <c r="P5957" s="12" t="n"/>
      <c r="Q5957" s="12" t="n"/>
      <c r="R5957" s="12" t="n"/>
      <c r="S5957" s="12" t="inlineStr">
        <is>
          <t>Tray / conduit</t>
        </is>
      </c>
      <c r="T5957" s="15" t="n">
        <v>54</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K-I-0058</t>
        </is>
      </c>
      <c r="B5958" s="12" t="inlineStr">
        <is>
          <t>K</t>
        </is>
      </c>
      <c r="C5958" s="12" t="inlineStr">
        <is>
          <t>Fuel supply (adjacent market)</t>
        </is>
      </c>
      <c r="D5958" s="12" t="inlineStr">
        <is>
          <t>Home run JB-H2 27: storage tub-AI01 to the control / marshalling room</t>
        </is>
      </c>
      <c r="E5958" s="12" t="inlineStr"/>
      <c r="F5958" s="12" t="inlineStr">
        <is>
          <t>H2 20: 13.8 kV e-house</t>
        </is>
      </c>
      <c r="G5958" s="12" t="inlineStr">
        <is>
          <t>JB-H2 27: storage tub-AI01</t>
        </is>
      </c>
      <c r="H5958" s="12" t="inlineStr">
        <is>
          <t>H2 27: storage tube bank (~40 ft tubes)</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50</v>
      </c>
      <c r="U5958" s="15" t="n">
        <v>117</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K-I-0059</t>
        </is>
      </c>
      <c r="B5959" s="12" t="inlineStr">
        <is>
          <t>K</t>
        </is>
      </c>
      <c r="C5959" s="12" t="inlineStr">
        <is>
          <t>Fuel supply (adjacent market)</t>
        </is>
      </c>
      <c r="D5959" s="12" t="inlineStr">
        <is>
          <t>Discrete device to JB JB-H2 27: storage tub-DI01: 12 x 1 pr (field cables)</t>
        </is>
      </c>
      <c r="E5959" s="12" t="inlineStr"/>
      <c r="F5959" s="12" t="inlineStr">
        <is>
          <t>H2 27: storage tube bank (~40 ft tubes)</t>
        </is>
      </c>
      <c r="G5959" s="12" t="inlineStr">
        <is>
          <t>JB-H2 27: storage tub-DI01</t>
        </is>
      </c>
      <c r="H5959" s="12" t="inlineStr">
        <is>
          <t>H2 27: storage tube bank (~40 ft tubes)</t>
        </is>
      </c>
      <c r="I5959" s="12" t="inlineStr">
        <is>
          <t>Instrumentation</t>
        </is>
      </c>
      <c r="J5959" s="12" t="inlineStr">
        <is>
          <t>Instrumentation ITC / PLTC, IS, #18 shielded pairs, blue jacket</t>
        </is>
      </c>
      <c r="K5959" s="12" t="inlineStr">
        <is>
          <t>ITC|1 pr|16</t>
        </is>
      </c>
      <c r="L5959" s="12" t="inlineStr">
        <is>
          <t>1 pr</t>
        </is>
      </c>
      <c r="M5959" s="12" t="inlineStr">
        <is>
          <t>16</t>
        </is>
      </c>
      <c r="N5959" s="12" t="n">
        <v>12</v>
      </c>
      <c r="O5959" s="12" t="n">
        <v>1</v>
      </c>
      <c r="P5959" s="12" t="n"/>
      <c r="Q5959" s="12" t="n"/>
      <c r="R5959" s="12" t="n"/>
      <c r="S5959" s="12" t="inlineStr">
        <is>
          <t>Tray / conduit</t>
        </is>
      </c>
      <c r="T5959" s="15" t="n">
        <v>54</v>
      </c>
      <c r="U5959" s="15" t="n">
        <v>10</v>
      </c>
      <c r="V5959" s="15">
        <f>ROUNDUP((T5959+U5959+2*'Read Me'!$B$13)*(1+'Read Me'!$B$12),-1)</f>
        <v/>
      </c>
      <c r="W5959" s="15">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K-I-0060</t>
        </is>
      </c>
      <c r="B5960" s="12" t="inlineStr">
        <is>
          <t>K</t>
        </is>
      </c>
      <c r="C5960" s="12" t="inlineStr">
        <is>
          <t>Fuel supply (adjacent market)</t>
        </is>
      </c>
      <c r="D5960" s="12" t="inlineStr">
        <is>
          <t>Home run JB-H2 27: storage tub-DI01 to the control / marshalling room</t>
        </is>
      </c>
      <c r="E5960" s="12" t="inlineStr"/>
      <c r="F5960" s="12" t="inlineStr">
        <is>
          <t>H2 20: 13.8 kV e-house</t>
        </is>
      </c>
      <c r="G5960" s="12" t="inlineStr">
        <is>
          <t>JB-H2 27: storage tub-DI01</t>
        </is>
      </c>
      <c r="H5960" s="12" t="inlineStr">
        <is>
          <t>H2 27: storage tube bank (~40 ft tubes)</t>
        </is>
      </c>
      <c r="I5960" s="12" t="inlineStr">
        <is>
          <t>Instrumentation</t>
        </is>
      </c>
      <c r="J5960" s="12" t="inlineStr">
        <is>
          <t>Instrumentation ITC / PLTC, IS, #18 shielded pairs, blue jacket</t>
        </is>
      </c>
      <c r="K5960" s="12" t="inlineStr">
        <is>
          <t>ITC|24 pr|18</t>
        </is>
      </c>
      <c r="L5960" s="12" t="inlineStr">
        <is>
          <t>24 pr</t>
        </is>
      </c>
      <c r="M5960" s="12" t="inlineStr">
        <is>
          <t>18</t>
        </is>
      </c>
      <c r="N5960" s="12" t="n">
        <v>1</v>
      </c>
      <c r="O5960" s="12" t="n">
        <v>1</v>
      </c>
      <c r="P5960" s="12" t="n"/>
      <c r="Q5960" s="12" t="n"/>
      <c r="R5960" s="12" t="n"/>
      <c r="S5960" s="12" t="inlineStr">
        <is>
          <t>Duct bank</t>
        </is>
      </c>
      <c r="T5960" s="15" t="n">
        <v>50</v>
      </c>
      <c r="U5960" s="15" t="n">
        <v>117</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K-I-0061</t>
        </is>
      </c>
      <c r="B5961" s="12" t="inlineStr">
        <is>
          <t>K</t>
        </is>
      </c>
      <c r="C5961" s="12" t="inlineStr">
        <is>
          <t>Fuel supply (adjacent market)</t>
        </is>
      </c>
      <c r="D5961" s="12" t="inlineStr">
        <is>
          <t>Analog instrument to JB JB-H2 27: storage tub-AI01: 12 x 1 pr (field cables)</t>
        </is>
      </c>
      <c r="E5961" s="12" t="inlineStr"/>
      <c r="F5961" s="12" t="inlineStr">
        <is>
          <t>H2 27: storage tube bank (~40 ft tubes)</t>
        </is>
      </c>
      <c r="G5961" s="12" t="inlineStr">
        <is>
          <t>JB-H2 27: storage tub-AI01</t>
        </is>
      </c>
      <c r="H5961" s="12" t="inlineStr">
        <is>
          <t>H2 27: storage tube bank (~40 ft tubes)</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54</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K-I-0062</t>
        </is>
      </c>
      <c r="B5962" s="12" t="inlineStr">
        <is>
          <t>K</t>
        </is>
      </c>
      <c r="C5962" s="12" t="inlineStr">
        <is>
          <t>Fuel supply (adjacent market)</t>
        </is>
      </c>
      <c r="D5962" s="12" t="inlineStr">
        <is>
          <t>Home run JB-H2 27: storage tub-AI01 to the control / marshalling room</t>
        </is>
      </c>
      <c r="E5962" s="12" t="inlineStr"/>
      <c r="F5962" s="12" t="inlineStr">
        <is>
          <t>H2 20: 13.8 kV e-house</t>
        </is>
      </c>
      <c r="G5962" s="12" t="inlineStr">
        <is>
          <t>JB-H2 27: storage tub-AI01</t>
        </is>
      </c>
      <c r="H5962" s="12" t="inlineStr">
        <is>
          <t>H2 27: storage tube bank (~40 ft tubes)</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50</v>
      </c>
      <c r="U5962" s="15" t="n">
        <v>97</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K-I-0063</t>
        </is>
      </c>
      <c r="B5963" s="12" t="inlineStr">
        <is>
          <t>K</t>
        </is>
      </c>
      <c r="C5963" s="12" t="inlineStr">
        <is>
          <t>Fuel supply (adjacent market)</t>
        </is>
      </c>
      <c r="D5963" s="12" t="inlineStr">
        <is>
          <t>Discrete device to JB JB-H2 27: storage tub-DI01: 12 x 1 pr (field cables)</t>
        </is>
      </c>
      <c r="E5963" s="12" t="inlineStr"/>
      <c r="F5963" s="12" t="inlineStr">
        <is>
          <t>H2 27: storage tube bank (~40 ft tubes)</t>
        </is>
      </c>
      <c r="G5963" s="12" t="inlineStr">
        <is>
          <t>JB-H2 27: storage tub-DI01</t>
        </is>
      </c>
      <c r="H5963" s="12" t="inlineStr">
        <is>
          <t>H2 27: storage tube bank (~40 ft tubes)</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54</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K-I-0064</t>
        </is>
      </c>
      <c r="B5964" s="12" t="inlineStr">
        <is>
          <t>K</t>
        </is>
      </c>
      <c r="C5964" s="12" t="inlineStr">
        <is>
          <t>Fuel supply (adjacent market)</t>
        </is>
      </c>
      <c r="D5964" s="12" t="inlineStr">
        <is>
          <t>Home run JB-H2 27: storage tub-DI01 to the control / marshalling room</t>
        </is>
      </c>
      <c r="E5964" s="12" t="inlineStr"/>
      <c r="F5964" s="12" t="inlineStr">
        <is>
          <t>H2 20: 13.8 kV e-house</t>
        </is>
      </c>
      <c r="G5964" s="12" t="inlineStr">
        <is>
          <t>JB-H2 27: storage tub-DI01</t>
        </is>
      </c>
      <c r="H5964" s="12" t="inlineStr">
        <is>
          <t>H2 27: storage tube bank (~40 ft tubes)</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50</v>
      </c>
      <c r="U5964" s="15" t="n">
        <v>97</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K-I-0065</t>
        </is>
      </c>
      <c r="B5965" s="12" t="inlineStr">
        <is>
          <t>K</t>
        </is>
      </c>
      <c r="C5965" s="12" t="inlineStr">
        <is>
          <t>Fuel supply (adjacent market)</t>
        </is>
      </c>
      <c r="D5965" s="12" t="inlineStr">
        <is>
          <t>Analog instrument to JB JB-H2 27: storage tub-AI01: 12 x 1 pr (field cables)</t>
        </is>
      </c>
      <c r="E5965" s="12" t="inlineStr"/>
      <c r="F5965" s="12" t="inlineStr">
        <is>
          <t>H2 27: storage tube bank (~40 ft tubes)</t>
        </is>
      </c>
      <c r="G5965" s="12" t="inlineStr">
        <is>
          <t>JB-H2 27: storage tub-AI01</t>
        </is>
      </c>
      <c r="H5965" s="12" t="inlineStr">
        <is>
          <t>H2 27: storage tube bank (~40 ft tubes)</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54</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K-I-0066</t>
        </is>
      </c>
      <c r="B5966" s="12" t="inlineStr">
        <is>
          <t>K</t>
        </is>
      </c>
      <c r="C5966" s="12" t="inlineStr">
        <is>
          <t>Fuel supply (adjacent market)</t>
        </is>
      </c>
      <c r="D5966" s="12" t="inlineStr">
        <is>
          <t>Home run JB-H2 27: storage tub-AI01 to the control / marshalling room</t>
        </is>
      </c>
      <c r="E5966" s="12" t="inlineStr"/>
      <c r="F5966" s="12" t="inlineStr">
        <is>
          <t>H2 20: 13.8 kV e-house</t>
        </is>
      </c>
      <c r="G5966" s="12" t="inlineStr">
        <is>
          <t>JB-H2 27: storage tub-AI01</t>
        </is>
      </c>
      <c r="H5966" s="12" t="inlineStr">
        <is>
          <t>H2 27: storage tube bank (~40 ft tubes)</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50</v>
      </c>
      <c r="U5966" s="15" t="n">
        <v>117</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K-I-0067</t>
        </is>
      </c>
      <c r="B5967" s="12" t="inlineStr">
        <is>
          <t>K</t>
        </is>
      </c>
      <c r="C5967" s="12" t="inlineStr">
        <is>
          <t>Fuel supply (adjacent market)</t>
        </is>
      </c>
      <c r="D5967" s="12" t="inlineStr">
        <is>
          <t>Discrete device to JB JB-H2 27: storage tub-DI01: 12 x 1 pr (field cables)</t>
        </is>
      </c>
      <c r="E5967" s="12" t="inlineStr"/>
      <c r="F5967" s="12" t="inlineStr">
        <is>
          <t>H2 27: storage tube bank (~40 ft tubes)</t>
        </is>
      </c>
      <c r="G5967" s="12" t="inlineStr">
        <is>
          <t>JB-H2 27: storage tub-DI01</t>
        </is>
      </c>
      <c r="H5967" s="12" t="inlineStr">
        <is>
          <t>H2 27: storage tube bank (~40 ft tubes)</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54</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K-I-0068</t>
        </is>
      </c>
      <c r="B5968" s="12" t="inlineStr">
        <is>
          <t>K</t>
        </is>
      </c>
      <c r="C5968" s="12" t="inlineStr">
        <is>
          <t>Fuel supply (adjacent market)</t>
        </is>
      </c>
      <c r="D5968" s="12" t="inlineStr">
        <is>
          <t>Home run JB-H2 27: storage tub-DI01 to the control / marshalling room</t>
        </is>
      </c>
      <c r="E5968" s="12" t="inlineStr"/>
      <c r="F5968" s="12" t="inlineStr">
        <is>
          <t>H2 20: 13.8 kV e-house</t>
        </is>
      </c>
      <c r="G5968" s="12" t="inlineStr">
        <is>
          <t>JB-H2 27: storage tub-DI01</t>
        </is>
      </c>
      <c r="H5968" s="12" t="inlineStr">
        <is>
          <t>H2 27: storage tube bank (~40 ft tubes)</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50</v>
      </c>
      <c r="U5968" s="15" t="n">
        <v>117</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K-I-0069</t>
        </is>
      </c>
      <c r="B5969" s="12" t="inlineStr">
        <is>
          <t>K</t>
        </is>
      </c>
      <c r="C5969" s="12" t="inlineStr">
        <is>
          <t>Fuel supply (adjacent market)</t>
        </is>
      </c>
      <c r="D5969" s="12" t="inlineStr">
        <is>
          <t>Analog instrument to JB JB-H2 28: N2 purge su-AI01: 12 x 1 pr (field cables)</t>
        </is>
      </c>
      <c r="E5969" s="12" t="inlineStr"/>
      <c r="F5969" s="12" t="inlineStr">
        <is>
          <t>H2 28: N2 purge supply</t>
        </is>
      </c>
      <c r="G5969" s="12" t="inlineStr">
        <is>
          <t>JB-H2 28: N2 purge su-AI01</t>
        </is>
      </c>
      <c r="H5969" s="12" t="inlineStr">
        <is>
          <t>H2 28: N2 purge supply</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56</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K-I-0070</t>
        </is>
      </c>
      <c r="B5970" s="12" t="inlineStr">
        <is>
          <t>K</t>
        </is>
      </c>
      <c r="C5970" s="12" t="inlineStr">
        <is>
          <t>Fuel supply (adjacent market)</t>
        </is>
      </c>
      <c r="D5970" s="12" t="inlineStr">
        <is>
          <t>Home run JB-H2 28: N2 purge su-AI01 to the control / marshalling room</t>
        </is>
      </c>
      <c r="E5970" s="12" t="inlineStr"/>
      <c r="F5970" s="12" t="inlineStr">
        <is>
          <t>H2 20: 13.8 kV e-house</t>
        </is>
      </c>
      <c r="G5970" s="12" t="inlineStr">
        <is>
          <t>JB-H2 28: N2 purge su-AI01</t>
        </is>
      </c>
      <c r="H5970" s="12" t="inlineStr">
        <is>
          <t>H2 28: N2 purge supply</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53</v>
      </c>
      <c r="U5970" s="15" t="n">
        <v>36</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K-I-0071</t>
        </is>
      </c>
      <c r="B5971" s="12" t="inlineStr">
        <is>
          <t>K</t>
        </is>
      </c>
      <c r="C5971" s="12" t="inlineStr">
        <is>
          <t>Fuel supply (adjacent market)</t>
        </is>
      </c>
      <c r="D5971" s="12" t="inlineStr">
        <is>
          <t>Discrete device to JB JB-H2 28: N2 purge su-DI01: 12 x 1 pr (field cables)</t>
        </is>
      </c>
      <c r="E5971" s="12" t="inlineStr"/>
      <c r="F5971" s="12" t="inlineStr">
        <is>
          <t>H2 28: N2 purge supply</t>
        </is>
      </c>
      <c r="G5971" s="12" t="inlineStr">
        <is>
          <t>JB-H2 28: N2 purge su-DI01</t>
        </is>
      </c>
      <c r="H5971" s="12" t="inlineStr">
        <is>
          <t>H2 28: N2 purge supply</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56</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K-I-0072</t>
        </is>
      </c>
      <c r="B5972" s="12" t="inlineStr">
        <is>
          <t>K</t>
        </is>
      </c>
      <c r="C5972" s="12" t="inlineStr">
        <is>
          <t>Fuel supply (adjacent market)</t>
        </is>
      </c>
      <c r="D5972" s="12" t="inlineStr">
        <is>
          <t>Home run JB-H2 28: N2 purge su-DI01 to the control / marshalling room</t>
        </is>
      </c>
      <c r="E5972" s="12" t="inlineStr"/>
      <c r="F5972" s="12" t="inlineStr">
        <is>
          <t>H2 20: 13.8 kV e-house</t>
        </is>
      </c>
      <c r="G5972" s="12" t="inlineStr">
        <is>
          <t>JB-H2 28: N2 purge su-DI01</t>
        </is>
      </c>
      <c r="H5972" s="12" t="inlineStr">
        <is>
          <t>H2 28: N2 purge supply</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53</v>
      </c>
      <c r="U5972" s="15" t="n">
        <v>36</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K-I-0073</t>
        </is>
      </c>
      <c r="B5973" s="12" t="inlineStr">
        <is>
          <t>K</t>
        </is>
      </c>
      <c r="C5973" s="12" t="inlineStr">
        <is>
          <t>Fuel supply (adjacent market)</t>
        </is>
      </c>
      <c r="D5973" s="12" t="inlineStr">
        <is>
          <t>Analog instrument to JB JB-H2 29: vent stack-AI01: 12 x 1 pr (field cables)</t>
        </is>
      </c>
      <c r="E5973" s="12" t="inlineStr"/>
      <c r="F5973" s="12" t="inlineStr">
        <is>
          <t>H2 29: vent stack</t>
        </is>
      </c>
      <c r="G5973" s="12" t="inlineStr">
        <is>
          <t>JB-H2 29: vent stack-AI01</t>
        </is>
      </c>
      <c r="H5973" s="12" t="inlineStr">
        <is>
          <t>H2 29: vent stack</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12</v>
      </c>
      <c r="O5973" s="12" t="n">
        <v>1</v>
      </c>
      <c r="P5973" s="12" t="n"/>
      <c r="Q5973" s="12" t="n"/>
      <c r="R5973" s="12" t="n"/>
      <c r="S5973" s="12" t="inlineStr">
        <is>
          <t>Tray / conduit</t>
        </is>
      </c>
      <c r="T5973" s="15" t="n">
        <v>45</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K-I-0074</t>
        </is>
      </c>
      <c r="B5974" s="12" t="inlineStr">
        <is>
          <t>K</t>
        </is>
      </c>
      <c r="C5974" s="12" t="inlineStr">
        <is>
          <t>Fuel supply (adjacent market)</t>
        </is>
      </c>
      <c r="D5974" s="12" t="inlineStr">
        <is>
          <t>Home run JB-H2 29: vent stack-AI01 to the control / marshalling room</t>
        </is>
      </c>
      <c r="E5974" s="12" t="inlineStr"/>
      <c r="F5974" s="12" t="inlineStr">
        <is>
          <t>H2 20: 13.8 kV e-house</t>
        </is>
      </c>
      <c r="G5974" s="12" t="inlineStr">
        <is>
          <t>JB-H2 29: vent stack-AI01</t>
        </is>
      </c>
      <c r="H5974" s="12" t="inlineStr">
        <is>
          <t>H2 29: vent stack</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55</v>
      </c>
      <c r="U5974" s="15" t="n">
        <v>205</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K-I-0075</t>
        </is>
      </c>
      <c r="B5975" s="12" t="inlineStr">
        <is>
          <t>K</t>
        </is>
      </c>
      <c r="C5975" s="12" t="inlineStr">
        <is>
          <t>Fuel supply (adjacent market)</t>
        </is>
      </c>
      <c r="D5975" s="12" t="inlineStr">
        <is>
          <t>Discrete device to JB JB-H2 29: vent stack-DI01: 12 x 1 pr (field cables)</t>
        </is>
      </c>
      <c r="E5975" s="12" t="inlineStr"/>
      <c r="F5975" s="12" t="inlineStr">
        <is>
          <t>H2 29: vent stack</t>
        </is>
      </c>
      <c r="G5975" s="12" t="inlineStr">
        <is>
          <t>JB-H2 29: vent stack-DI01</t>
        </is>
      </c>
      <c r="H5975" s="12" t="inlineStr">
        <is>
          <t>H2 29: vent stack</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12</v>
      </c>
      <c r="O5975" s="12" t="n">
        <v>1</v>
      </c>
      <c r="P5975" s="12" t="n"/>
      <c r="Q5975" s="12" t="n"/>
      <c r="R5975" s="12" t="n"/>
      <c r="S5975" s="12" t="inlineStr">
        <is>
          <t>Tray / conduit</t>
        </is>
      </c>
      <c r="T5975" s="15" t="n">
        <v>45</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K-I-0076</t>
        </is>
      </c>
      <c r="B5976" s="12" t="inlineStr">
        <is>
          <t>K</t>
        </is>
      </c>
      <c r="C5976" s="12" t="inlineStr">
        <is>
          <t>Fuel supply (adjacent market)</t>
        </is>
      </c>
      <c r="D5976" s="12" t="inlineStr">
        <is>
          <t>Home run JB-H2 29: vent stack-DI01 to the control / marshalling room</t>
        </is>
      </c>
      <c r="E5976" s="12" t="inlineStr"/>
      <c r="F5976" s="12" t="inlineStr">
        <is>
          <t>H2 20: 13.8 kV e-house</t>
        </is>
      </c>
      <c r="G5976" s="12" t="inlineStr">
        <is>
          <t>JB-H2 29: vent stack-DI01</t>
        </is>
      </c>
      <c r="H5976" s="12" t="inlineStr">
        <is>
          <t>H2 29: vent stack</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55</v>
      </c>
      <c r="U5976" s="15" t="n">
        <v>205</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K-I-0077</t>
        </is>
      </c>
      <c r="B5977" s="12" t="inlineStr">
        <is>
          <t>K</t>
        </is>
      </c>
      <c r="C5977" s="12" t="inlineStr">
        <is>
          <t>Fuel supply (adjacent market)</t>
        </is>
      </c>
      <c r="D5977" s="12" t="inlineStr">
        <is>
          <t>Analog instrument to JB JB-H2 30: H2 / gas bl-AI01: 12 x 1 pr (field cables)</t>
        </is>
      </c>
      <c r="E5977" s="12" t="inlineStr"/>
      <c r="F5977" s="12" t="inlineStr">
        <is>
          <t>H2 30: H2 / gas blending station (plant gas yard)</t>
        </is>
      </c>
      <c r="G5977" s="12" t="inlineStr">
        <is>
          <t>JB-H2 30: H2 / gas bl-AI01</t>
        </is>
      </c>
      <c r="H5977" s="12" t="inlineStr">
        <is>
          <t>H2 30: H2 / gas blending station (plant gas yard)</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12</v>
      </c>
      <c r="O5977" s="12" t="n">
        <v>1</v>
      </c>
      <c r="P5977" s="12" t="n"/>
      <c r="Q5977" s="12" t="n"/>
      <c r="R5977" s="12" t="n"/>
      <c r="S5977" s="12" t="inlineStr">
        <is>
          <t>Tray / conduit</t>
        </is>
      </c>
      <c r="T5977" s="15" t="n">
        <v>129</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K-I-0078</t>
        </is>
      </c>
      <c r="B5978" s="12" t="inlineStr">
        <is>
          <t>K</t>
        </is>
      </c>
      <c r="C5978" s="12" t="inlineStr">
        <is>
          <t>Fuel supply (adjacent market)</t>
        </is>
      </c>
      <c r="D5978" s="12" t="inlineStr">
        <is>
          <t>Home run JB-H2 30: H2 / gas bl-AI01 to the control / marshalling room</t>
        </is>
      </c>
      <c r="E5978" s="12" t="inlineStr"/>
      <c r="F5978" s="12" t="inlineStr">
        <is>
          <t>LNG 17: LNG e-house (13.8 kV / 480 V)</t>
        </is>
      </c>
      <c r="G5978" s="12" t="inlineStr">
        <is>
          <t>JB-H2 30: H2 / gas bl-AI01</t>
        </is>
      </c>
      <c r="H5978" s="12" t="inlineStr">
        <is>
          <t>H2 30: H2 / gas blending station (plant gas yard)</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994</v>
      </c>
      <c r="U5978" s="15" t="n">
        <v>114</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K-I-0079</t>
        </is>
      </c>
      <c r="B5979" s="12" t="inlineStr">
        <is>
          <t>K</t>
        </is>
      </c>
      <c r="C5979" s="12" t="inlineStr">
        <is>
          <t>Fuel supply (adjacent market)</t>
        </is>
      </c>
      <c r="D5979" s="12" t="inlineStr">
        <is>
          <t>Discrete device to JB JB-H2 30: H2 / gas bl-DI01: 12 x 1 pr (field cables)</t>
        </is>
      </c>
      <c r="E5979" s="12" t="inlineStr"/>
      <c r="F5979" s="12" t="inlineStr">
        <is>
          <t>H2 30: H2 / gas blending station (plant gas yard)</t>
        </is>
      </c>
      <c r="G5979" s="12" t="inlineStr">
        <is>
          <t>JB-H2 30: H2 / gas bl-DI01</t>
        </is>
      </c>
      <c r="H5979" s="12" t="inlineStr">
        <is>
          <t>H2 30: H2 / gas blending station (plant gas yard)</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12</v>
      </c>
      <c r="O5979" s="12" t="n">
        <v>1</v>
      </c>
      <c r="P5979" s="12" t="n"/>
      <c r="Q5979" s="12" t="n"/>
      <c r="R5979" s="12" t="n"/>
      <c r="S5979" s="12" t="inlineStr">
        <is>
          <t>Tray / conduit</t>
        </is>
      </c>
      <c r="T5979" s="15" t="n">
        <v>129</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K-I-0080</t>
        </is>
      </c>
      <c r="B5980" s="12" t="inlineStr">
        <is>
          <t>K</t>
        </is>
      </c>
      <c r="C5980" s="12" t="inlineStr">
        <is>
          <t>Fuel supply (adjacent market)</t>
        </is>
      </c>
      <c r="D5980" s="12" t="inlineStr">
        <is>
          <t>Home run JB-H2 30: H2 / gas bl-DI01 to the control / marshalling room</t>
        </is>
      </c>
      <c r="E5980" s="12" t="inlineStr"/>
      <c r="F5980" s="12" t="inlineStr">
        <is>
          <t>LNG 17: LNG e-house (13.8 kV / 480 V)</t>
        </is>
      </c>
      <c r="G5980" s="12" t="inlineStr">
        <is>
          <t>JB-H2 30: H2 / gas bl-DI01</t>
        </is>
      </c>
      <c r="H5980" s="12" t="inlineStr">
        <is>
          <t>H2 30: H2 / gas blending station (plant gas yard)</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994</v>
      </c>
      <c r="U5980" s="15" t="n">
        <v>114</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K-I-0081</t>
        </is>
      </c>
      <c r="B5981" s="12" t="inlineStr">
        <is>
          <t>K</t>
        </is>
      </c>
      <c r="C5981" s="12" t="inlineStr">
        <is>
          <t>Fuel supply (adjacent market)</t>
        </is>
      </c>
      <c r="D5981" s="12" t="inlineStr">
        <is>
          <t>Analog instrument to JB JB-H2 pipe track and -AI01: 10 x 1 pr (field cables)</t>
        </is>
      </c>
      <c r="E5981" s="12" t="inlineStr"/>
      <c r="F5981" s="12" t="inlineStr">
        <is>
          <t>H2 pipe track and cable trench, hall -&gt; dryer / compressors (N2, instr</t>
        </is>
      </c>
      <c r="G5981" s="12" t="inlineStr">
        <is>
          <t>JB-H2 pipe track and -AI01</t>
        </is>
      </c>
      <c r="H5981" s="12" t="inlineStr">
        <is>
          <t>H2 pipe track and cable trench, hall -&gt; dryer / compressors (N2, instr</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10</v>
      </c>
      <c r="O5981" s="12" t="n">
        <v>1</v>
      </c>
      <c r="P5981" s="12" t="n"/>
      <c r="Q5981" s="12" t="n"/>
      <c r="R5981" s="12" t="n"/>
      <c r="S5981" s="12" t="inlineStr">
        <is>
          <t>Tray / conduit</t>
        </is>
      </c>
      <c r="T5981" s="15" t="n">
        <v>70</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K-I-0082</t>
        </is>
      </c>
      <c r="B5982" s="12" t="inlineStr">
        <is>
          <t>K</t>
        </is>
      </c>
      <c r="C5982" s="12" t="inlineStr">
        <is>
          <t>Fuel supply (adjacent market)</t>
        </is>
      </c>
      <c r="D5982" s="12" t="inlineStr">
        <is>
          <t>Home run JB-H2 pipe track and -AI01 to the control / marshalling room</t>
        </is>
      </c>
      <c r="E5982" s="12" t="inlineStr"/>
      <c r="F5982" s="12" t="inlineStr">
        <is>
          <t>H2 20: 13.8 kV e-house</t>
        </is>
      </c>
      <c r="G5982" s="12" t="inlineStr">
        <is>
          <t>JB-H2 pipe track and -AI01</t>
        </is>
      </c>
      <c r="H5982" s="12" t="inlineStr">
        <is>
          <t>H2 pipe track and cable trench, hall -&gt; dryer / compressors (N2, instr</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53</v>
      </c>
      <c r="U5982" s="15" t="n">
        <v>62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K-I-0083</t>
        </is>
      </c>
      <c r="B5983" s="12" t="inlineStr">
        <is>
          <t>K</t>
        </is>
      </c>
      <c r="C5983" s="12" t="inlineStr">
        <is>
          <t>Fuel supply (adjacent market)</t>
        </is>
      </c>
      <c r="D5983" s="12" t="inlineStr">
        <is>
          <t>Discrete device to JB JB-H2 pipe track and -DI01: 10 x 1 pr (field cables)</t>
        </is>
      </c>
      <c r="E5983" s="12" t="inlineStr"/>
      <c r="F5983" s="12" t="inlineStr">
        <is>
          <t>H2 pipe track and cable trench, hall -&gt; dryer / compressors (N2, instr</t>
        </is>
      </c>
      <c r="G5983" s="12" t="inlineStr">
        <is>
          <t>JB-H2 pipe track and -DI01</t>
        </is>
      </c>
      <c r="H5983" s="12" t="inlineStr">
        <is>
          <t>H2 pipe track and cable trench, hall -&gt; dryer / compressors (N2, instr</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10</v>
      </c>
      <c r="O5983" s="12" t="n">
        <v>1</v>
      </c>
      <c r="P5983" s="12" t="n"/>
      <c r="Q5983" s="12" t="n"/>
      <c r="R5983" s="12" t="n"/>
      <c r="S5983" s="12" t="inlineStr">
        <is>
          <t>Tray / conduit</t>
        </is>
      </c>
      <c r="T5983" s="15" t="n">
        <v>70</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K-I-0084</t>
        </is>
      </c>
      <c r="B5984" s="12" t="inlineStr">
        <is>
          <t>K</t>
        </is>
      </c>
      <c r="C5984" s="12" t="inlineStr">
        <is>
          <t>Fuel supply (adjacent market)</t>
        </is>
      </c>
      <c r="D5984" s="12" t="inlineStr">
        <is>
          <t>Home run JB-H2 pipe track and -DI01 to the control / marshalling room</t>
        </is>
      </c>
      <c r="E5984" s="12" t="inlineStr"/>
      <c r="F5984" s="12" t="inlineStr">
        <is>
          <t>H2 20: 13.8 kV e-house</t>
        </is>
      </c>
      <c r="G5984" s="12" t="inlineStr">
        <is>
          <t>JB-H2 pipe track and -DI01</t>
        </is>
      </c>
      <c r="H5984" s="12" t="inlineStr">
        <is>
          <t>H2 pipe track and cable trench, hall -&gt; dryer / compressors (N2, instr</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53</v>
      </c>
      <c r="U5984" s="15" t="n">
        <v>62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K-I-0085</t>
        </is>
      </c>
      <c r="B5985" s="12" t="inlineStr">
        <is>
          <t>K</t>
        </is>
      </c>
      <c r="C5985" s="12" t="inlineStr">
        <is>
          <t>Fuel supply (adjacent market)</t>
        </is>
      </c>
      <c r="D5985" s="12" t="inlineStr">
        <is>
          <t>Instrumentation</t>
        </is>
      </c>
      <c r="E5985" s="12" t="inlineStr"/>
      <c r="F5985" s="12" t="inlineStr">
        <is>
          <t>H2 20: 13.8 kV e-house</t>
        </is>
      </c>
      <c r="G5985" s="12" t="inlineStr">
        <is>
          <t>H2-ST</t>
        </is>
      </c>
      <c r="H5985" s="12" t="inlineStr">
        <is>
          <t>H2 storage tube banks x4</t>
        </is>
      </c>
      <c r="I5985" s="12" t="inlineStr">
        <is>
          <t>Instrumentation</t>
        </is>
      </c>
      <c r="J5985" s="12" t="inlineStr">
        <is>
          <t>Instrumentation ITC / PLTC, IS, #18 shielded pairs, blue jacket</t>
        </is>
      </c>
      <c r="K5985" s="12" t="inlineStr">
        <is>
          <t>ITC|4 pr|18</t>
        </is>
      </c>
      <c r="L5985" s="12" t="inlineStr">
        <is>
          <t>4 pr</t>
        </is>
      </c>
      <c r="M5985" s="12" t="inlineStr">
        <is>
          <t>18</t>
        </is>
      </c>
      <c r="N5985" s="12" t="n">
        <v>1</v>
      </c>
      <c r="O5985" s="12" t="n">
        <v>1</v>
      </c>
      <c r="P5985" s="12" t="n"/>
      <c r="Q5985" s="12" t="n"/>
      <c r="R5985" s="12" t="n"/>
      <c r="S5985" s="12" t="inlineStr">
        <is>
          <t>Duct bank</t>
        </is>
      </c>
      <c r="T5985" s="15" t="n">
        <v>50</v>
      </c>
      <c r="U5985" s="15" t="n">
        <v>92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K-I-0086</t>
        </is>
      </c>
      <c r="B5986" s="12" t="inlineStr">
        <is>
          <t>K</t>
        </is>
      </c>
      <c r="C5986" s="12" t="inlineStr">
        <is>
          <t>Fuel supply (adjacent market)</t>
        </is>
      </c>
      <c r="D5986" s="12" t="inlineStr">
        <is>
          <t>Instrumentation</t>
        </is>
      </c>
      <c r="E5986" s="12" t="inlineStr"/>
      <c r="F5986" s="12" t="inlineStr">
        <is>
          <t>H2 20: 13.8 kV e-house</t>
        </is>
      </c>
      <c r="G5986" s="12" t="inlineStr">
        <is>
          <t>H2R</t>
        </is>
      </c>
      <c r="H5986" s="12" t="inlineStr">
        <is>
          <t>H2R: hydrogen pipeline receiving station (pig receiver, filters, meter</t>
        </is>
      </c>
      <c r="I5986" s="12" t="inlineStr">
        <is>
          <t>Instrumentation</t>
        </is>
      </c>
      <c r="J5986" s="12" t="inlineStr">
        <is>
          <t>Instrumentation ITC / PLTC, IS, #18 shielded pairs, blue jacket</t>
        </is>
      </c>
      <c r="K5986" s="12" t="inlineStr">
        <is>
          <t>ITC|4 pr|18</t>
        </is>
      </c>
      <c r="L5986" s="12" t="inlineStr">
        <is>
          <t>4 pr</t>
        </is>
      </c>
      <c r="M5986" s="12" t="inlineStr">
        <is>
          <t>18</t>
        </is>
      </c>
      <c r="N5986" s="12" t="n">
        <v>1</v>
      </c>
      <c r="O5986" s="12" t="n">
        <v>1</v>
      </c>
      <c r="P5986" s="12" t="n"/>
      <c r="Q5986" s="12" t="n"/>
      <c r="R5986" s="12" t="n"/>
      <c r="S5986" s="12" t="inlineStr">
        <is>
          <t>Duct bank</t>
        </is>
      </c>
      <c r="T5986" s="15" t="n">
        <v>40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K-I-0087</t>
        </is>
      </c>
      <c r="B5987" s="12" t="inlineStr">
        <is>
          <t>K</t>
        </is>
      </c>
      <c r="C5987" s="12" t="inlineStr">
        <is>
          <t>Fuel supply (adjacent market)</t>
        </is>
      </c>
      <c r="D5987" s="12" t="inlineStr">
        <is>
          <t>Analog instrument to JB JB-LNG 10: truck unlo-AI01: 12 x 1 pr (field cables)</t>
        </is>
      </c>
      <c r="E5987" s="12" t="inlineStr"/>
      <c r="F5987" s="12" t="inlineStr">
        <is>
          <t>LNG 10: truck unloading bay 1</t>
        </is>
      </c>
      <c r="G5987" s="12" t="inlineStr">
        <is>
          <t>JB-LNG 10: truck unlo-AI01</t>
        </is>
      </c>
      <c r="H5987" s="12" t="inlineStr">
        <is>
          <t>LNG 10: truck unloading bay 1</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12</v>
      </c>
      <c r="O5987" s="12" t="n">
        <v>1</v>
      </c>
      <c r="P5987" s="12" t="n"/>
      <c r="Q5987" s="12" t="n"/>
      <c r="R5987" s="12" t="n"/>
      <c r="S5987" s="12" t="inlineStr">
        <is>
          <t>Tray / conduit</t>
        </is>
      </c>
      <c r="T5987" s="15" t="n">
        <v>80</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K-I-0088</t>
        </is>
      </c>
      <c r="B5988" s="12" t="inlineStr">
        <is>
          <t>K</t>
        </is>
      </c>
      <c r="C5988" s="12" t="inlineStr">
        <is>
          <t>Fuel supply (adjacent market)</t>
        </is>
      </c>
      <c r="D5988" s="12" t="inlineStr">
        <is>
          <t>Home run JB-LNG 10: truck unlo-AI01 to the control / marshalling room</t>
        </is>
      </c>
      <c r="E5988" s="12" t="inlineStr"/>
      <c r="F5988" s="12" t="inlineStr">
        <is>
          <t>LNG 17: LNG e-house (13.8 kV / 480 V)</t>
        </is>
      </c>
      <c r="G5988" s="12" t="inlineStr">
        <is>
          <t>JB-LNG 10: truck unlo-AI01</t>
        </is>
      </c>
      <c r="H5988" s="12" t="inlineStr">
        <is>
          <t>LNG 10: truck unloading bay 1</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237</v>
      </c>
      <c r="U5988" s="15" t="n">
        <v>61</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K-I-0089</t>
        </is>
      </c>
      <c r="B5989" s="12" t="inlineStr">
        <is>
          <t>K</t>
        </is>
      </c>
      <c r="C5989" s="12" t="inlineStr">
        <is>
          <t>Fuel supply (adjacent market)</t>
        </is>
      </c>
      <c r="D5989" s="12" t="inlineStr">
        <is>
          <t>Discrete device to JB JB-LNG 10: truck unlo-DI01: 12 x 1 pr (field cables)</t>
        </is>
      </c>
      <c r="E5989" s="12" t="inlineStr"/>
      <c r="F5989" s="12" t="inlineStr">
        <is>
          <t>LNG 10: truck unloading bay 1</t>
        </is>
      </c>
      <c r="G5989" s="12" t="inlineStr">
        <is>
          <t>JB-LNG 10: truck unlo-DI01</t>
        </is>
      </c>
      <c r="H5989" s="12" t="inlineStr">
        <is>
          <t>LNG 10: truck unloading bay 1</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12</v>
      </c>
      <c r="O5989" s="12" t="n">
        <v>1</v>
      </c>
      <c r="P5989" s="12" t="n"/>
      <c r="Q5989" s="12" t="n"/>
      <c r="R5989" s="12" t="n"/>
      <c r="S5989" s="12" t="inlineStr">
        <is>
          <t>Tray / conduit</t>
        </is>
      </c>
      <c r="T5989" s="15" t="n">
        <v>80</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K-I-0090</t>
        </is>
      </c>
      <c r="B5990" s="12" t="inlineStr">
        <is>
          <t>K</t>
        </is>
      </c>
      <c r="C5990" s="12" t="inlineStr">
        <is>
          <t>Fuel supply (adjacent market)</t>
        </is>
      </c>
      <c r="D5990" s="12" t="inlineStr">
        <is>
          <t>Home run JB-LNG 10: truck unlo-DI01 to the control / marshalling room</t>
        </is>
      </c>
      <c r="E5990" s="12" t="inlineStr"/>
      <c r="F5990" s="12" t="inlineStr">
        <is>
          <t>LNG 17: LNG e-house (13.8 kV / 480 V)</t>
        </is>
      </c>
      <c r="G5990" s="12" t="inlineStr">
        <is>
          <t>JB-LNG 10: truck unlo-DI01</t>
        </is>
      </c>
      <c r="H5990" s="12" t="inlineStr">
        <is>
          <t>LNG 10: truck unloading bay 1</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237</v>
      </c>
      <c r="U5990" s="15" t="n">
        <v>61</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K-I-0091</t>
        </is>
      </c>
      <c r="B5991" s="12" t="inlineStr">
        <is>
          <t>K</t>
        </is>
      </c>
      <c r="C5991" s="12" t="inlineStr">
        <is>
          <t>Fuel supply (adjacent market)</t>
        </is>
      </c>
      <c r="D5991" s="12" t="inlineStr">
        <is>
          <t>Analog instrument to JB JB-LNG 10: truck unlo-AI01: 12 x 1 pr (field cables)</t>
        </is>
      </c>
      <c r="E5991" s="12" t="inlineStr"/>
      <c r="F5991" s="12" t="inlineStr">
        <is>
          <t>LNG 10: truck unloading bay 2</t>
        </is>
      </c>
      <c r="G5991" s="12" t="inlineStr">
        <is>
          <t>JB-LNG 10: truck unlo-AI01</t>
        </is>
      </c>
      <c r="H5991" s="12" t="inlineStr">
        <is>
          <t>LNG 10: truck unloading bay 2</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12</v>
      </c>
      <c r="O5991" s="12" t="n">
        <v>1</v>
      </c>
      <c r="P5991" s="12" t="n"/>
      <c r="Q5991" s="12" t="n"/>
      <c r="R5991" s="12" t="n"/>
      <c r="S5991" s="12" t="inlineStr">
        <is>
          <t>Tray / conduit</t>
        </is>
      </c>
      <c r="T5991" s="15" t="n">
        <v>80</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K-I-0092</t>
        </is>
      </c>
      <c r="B5992" s="12" t="inlineStr">
        <is>
          <t>K</t>
        </is>
      </c>
      <c r="C5992" s="12" t="inlineStr">
        <is>
          <t>Fuel supply (adjacent market)</t>
        </is>
      </c>
      <c r="D5992" s="12" t="inlineStr">
        <is>
          <t>Home run JB-LNG 10: truck unlo-AI01 to the control / marshalling room</t>
        </is>
      </c>
      <c r="E5992" s="12" t="inlineStr"/>
      <c r="F5992" s="12" t="inlineStr">
        <is>
          <t>LNG 17: LNG e-house (13.8 kV / 480 V)</t>
        </is>
      </c>
      <c r="G5992" s="12" t="inlineStr">
        <is>
          <t>JB-LNG 10: truck unlo-AI01</t>
        </is>
      </c>
      <c r="H5992" s="12" t="inlineStr">
        <is>
          <t>LNG 10: truck unloading bay 2</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147</v>
      </c>
      <c r="U5992" s="15" t="n">
        <v>66</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K-I-0093</t>
        </is>
      </c>
      <c r="B5993" s="12" t="inlineStr">
        <is>
          <t>K</t>
        </is>
      </c>
      <c r="C5993" s="12" t="inlineStr">
        <is>
          <t>Fuel supply (adjacent market)</t>
        </is>
      </c>
      <c r="D5993" s="12" t="inlineStr">
        <is>
          <t>Discrete device to JB JB-LNG 10: truck unlo-DI01: 12 x 1 pr (field cables)</t>
        </is>
      </c>
      <c r="E5993" s="12" t="inlineStr"/>
      <c r="F5993" s="12" t="inlineStr">
        <is>
          <t>LNG 10: truck unloading bay 2</t>
        </is>
      </c>
      <c r="G5993" s="12" t="inlineStr">
        <is>
          <t>JB-LNG 10: truck unlo-DI01</t>
        </is>
      </c>
      <c r="H5993" s="12" t="inlineStr">
        <is>
          <t>LNG 10: truck unloading bay 2</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12</v>
      </c>
      <c r="O5993" s="12" t="n">
        <v>1</v>
      </c>
      <c r="P5993" s="12" t="n"/>
      <c r="Q5993" s="12" t="n"/>
      <c r="R5993" s="12" t="n"/>
      <c r="S5993" s="12" t="inlineStr">
        <is>
          <t>Tray / conduit</t>
        </is>
      </c>
      <c r="T5993" s="15" t="n">
        <v>80</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K-I-0094</t>
        </is>
      </c>
      <c r="B5994" s="12" t="inlineStr">
        <is>
          <t>K</t>
        </is>
      </c>
      <c r="C5994" s="12" t="inlineStr">
        <is>
          <t>Fuel supply (adjacent market)</t>
        </is>
      </c>
      <c r="D5994" s="12" t="inlineStr">
        <is>
          <t>Home run JB-LNG 10: truck unlo-DI01 to the control / marshalling room</t>
        </is>
      </c>
      <c r="E5994" s="12" t="inlineStr"/>
      <c r="F5994" s="12" t="inlineStr">
        <is>
          <t>LNG 17: LNG e-house (13.8 kV / 480 V)</t>
        </is>
      </c>
      <c r="G5994" s="12" t="inlineStr">
        <is>
          <t>JB-LNG 10: truck unlo-DI01</t>
        </is>
      </c>
      <c r="H5994" s="12" t="inlineStr">
        <is>
          <t>LNG 10: truck unloading bay 2</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147</v>
      </c>
      <c r="U5994" s="15" t="n">
        <v>66</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K-I-0095</t>
        </is>
      </c>
      <c r="B5995" s="12" t="inlineStr">
        <is>
          <t>K</t>
        </is>
      </c>
      <c r="C5995" s="12" t="inlineStr">
        <is>
          <t>Fuel supply (adjacent market)</t>
        </is>
      </c>
      <c r="D5995" s="12" t="inlineStr">
        <is>
          <t>Analog instrument to JB JB-LNG 10: unloading -AI01: 12 x 1 pr (field cables)</t>
        </is>
      </c>
      <c r="E5995" s="12" t="inlineStr"/>
      <c r="F5995" s="12" t="inlineStr">
        <is>
          <t>LNG 10: unloading skid</t>
        </is>
      </c>
      <c r="G5995" s="12" t="inlineStr">
        <is>
          <t>JB-LNG 10: unloading -AI01</t>
        </is>
      </c>
      <c r="H5995" s="12" t="inlineStr">
        <is>
          <t>LNG 10: unloading skid</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12</v>
      </c>
      <c r="O5995" s="12" t="n">
        <v>1</v>
      </c>
      <c r="P5995" s="12" t="n"/>
      <c r="Q5995" s="12" t="n"/>
      <c r="R5995" s="12" t="n"/>
      <c r="S5995" s="12" t="inlineStr">
        <is>
          <t>Tray / conduit</t>
        </is>
      </c>
      <c r="T5995" s="15" t="n">
        <v>54</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K-I-0096</t>
        </is>
      </c>
      <c r="B5996" s="12" t="inlineStr">
        <is>
          <t>K</t>
        </is>
      </c>
      <c r="C5996" s="12" t="inlineStr">
        <is>
          <t>Fuel supply (adjacent market)</t>
        </is>
      </c>
      <c r="D5996" s="12" t="inlineStr">
        <is>
          <t>Home run JB-LNG 10: unloading -AI01 to the control / marshalling room</t>
        </is>
      </c>
      <c r="E5996" s="12" t="inlineStr"/>
      <c r="F5996" s="12" t="inlineStr">
        <is>
          <t>LNG 17: LNG e-house (13.8 kV / 480 V)</t>
        </is>
      </c>
      <c r="G5996" s="12" t="inlineStr">
        <is>
          <t>JB-LNG 10: unloading -AI01</t>
        </is>
      </c>
      <c r="H5996" s="12" t="inlineStr">
        <is>
          <t>LNG 10: unloading skid</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237</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K-I-0097</t>
        </is>
      </c>
      <c r="B5997" s="12" t="inlineStr">
        <is>
          <t>K</t>
        </is>
      </c>
      <c r="C5997" s="12" t="inlineStr">
        <is>
          <t>Fuel supply (adjacent market)</t>
        </is>
      </c>
      <c r="D5997" s="12" t="inlineStr">
        <is>
          <t>Discrete device to JB JB-LNG 10: unloading -DI01: 12 x 1 pr (field cables)</t>
        </is>
      </c>
      <c r="E5997" s="12" t="inlineStr"/>
      <c r="F5997" s="12" t="inlineStr">
        <is>
          <t>LNG 10: unloading skid</t>
        </is>
      </c>
      <c r="G5997" s="12" t="inlineStr">
        <is>
          <t>JB-LNG 10: unloading -DI01</t>
        </is>
      </c>
      <c r="H5997" s="12" t="inlineStr">
        <is>
          <t>LNG 10: unloading skid</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12</v>
      </c>
      <c r="O5997" s="12" t="n">
        <v>1</v>
      </c>
      <c r="P5997" s="12" t="n"/>
      <c r="Q5997" s="12" t="n"/>
      <c r="R5997" s="12" t="n"/>
      <c r="S5997" s="12" t="inlineStr">
        <is>
          <t>Tray / conduit</t>
        </is>
      </c>
      <c r="T5997" s="15" t="n">
        <v>54</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K-I-0098</t>
        </is>
      </c>
      <c r="B5998" s="12" t="inlineStr">
        <is>
          <t>K</t>
        </is>
      </c>
      <c r="C5998" s="12" t="inlineStr">
        <is>
          <t>Fuel supply (adjacent market)</t>
        </is>
      </c>
      <c r="D5998" s="12" t="inlineStr">
        <is>
          <t>Home run JB-LNG 10: unloading -DI01 to the control / marshalling room</t>
        </is>
      </c>
      <c r="E5998" s="12" t="inlineStr"/>
      <c r="F5998" s="12" t="inlineStr">
        <is>
          <t>LNG 17: LNG e-house (13.8 kV / 480 V)</t>
        </is>
      </c>
      <c r="G5998" s="12" t="inlineStr">
        <is>
          <t>JB-LNG 10: unloading -DI01</t>
        </is>
      </c>
      <c r="H5998" s="12" t="inlineStr">
        <is>
          <t>LNG 10: unloading skid</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237</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K-I-0099</t>
        </is>
      </c>
      <c r="B5999" s="12" t="inlineStr">
        <is>
          <t>K</t>
        </is>
      </c>
      <c r="C5999" s="12" t="inlineStr">
        <is>
          <t>Fuel supply (adjacent market)</t>
        </is>
      </c>
      <c r="D5999" s="12" t="inlineStr">
        <is>
          <t>Analog instrument to JB JB-LNG-T1-AI01: 4 x 1 pr (field cables)</t>
        </is>
      </c>
      <c r="E5999" s="12" t="inlineStr">
        <is>
          <t>LNG-T1</t>
        </is>
      </c>
      <c r="F5999" s="12" t="inlineStr">
        <is>
          <t>LNG 11: tank 1, 51,780 gal horizontal vacuum-insulated</t>
        </is>
      </c>
      <c r="G5999" s="12" t="inlineStr">
        <is>
          <t>JB-LNG-T1-AI01</t>
        </is>
      </c>
      <c r="H5999" s="12" t="inlineStr">
        <is>
          <t>LNG 11: tank 1, 51,780 gal horizontal vacuum-insulated</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K-I-0100</t>
        </is>
      </c>
      <c r="B6000" s="12" t="inlineStr">
        <is>
          <t>K</t>
        </is>
      </c>
      <c r="C6000" s="12" t="inlineStr">
        <is>
          <t>Fuel supply (adjacent market)</t>
        </is>
      </c>
      <c r="D6000" s="12" t="inlineStr">
        <is>
          <t>Home run JB-LNG-T1-AI01 to the control / marshalling room</t>
        </is>
      </c>
      <c r="E6000" s="12" t="inlineStr"/>
      <c r="F6000" s="12" t="inlineStr">
        <is>
          <t>LNG 17: LNG e-house (13.8 kV / 480 V)</t>
        </is>
      </c>
      <c r="G6000" s="12" t="inlineStr">
        <is>
          <t>JB-LNG-T1-AI01</t>
        </is>
      </c>
      <c r="H6000" s="12" t="inlineStr">
        <is>
          <t>LNG 11: tank 1, 51,780 gal horizontal vacuum-insulated</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210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K-I-0101</t>
        </is>
      </c>
      <c r="B6001" s="12" t="inlineStr">
        <is>
          <t>K</t>
        </is>
      </c>
      <c r="C6001" s="12" t="inlineStr">
        <is>
          <t>Fuel supply (adjacent market)</t>
        </is>
      </c>
      <c r="D6001" s="12" t="inlineStr">
        <is>
          <t>Discrete device to JB JB-LNG-T1-DI01: 4 x 1 pr (field cables)</t>
        </is>
      </c>
      <c r="E6001" s="12" t="inlineStr">
        <is>
          <t>LNG-T1</t>
        </is>
      </c>
      <c r="F6001" s="12" t="inlineStr">
        <is>
          <t>LNG 11: tank 1, 51,780 gal horizontal vacuum-insulated</t>
        </is>
      </c>
      <c r="G6001" s="12" t="inlineStr">
        <is>
          <t>JB-LNG-T1-DI01</t>
        </is>
      </c>
      <c r="H6001" s="12" t="inlineStr">
        <is>
          <t>LNG 11: tank 1, 51,780 gal horizontal vacuum-insulated</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K-I-0102</t>
        </is>
      </c>
      <c r="B6002" s="12" t="inlineStr">
        <is>
          <t>K</t>
        </is>
      </c>
      <c r="C6002" s="12" t="inlineStr">
        <is>
          <t>Fuel supply (adjacent market)</t>
        </is>
      </c>
      <c r="D6002" s="12" t="inlineStr">
        <is>
          <t>Home run JB-LNG-T1-DI01 to the control / marshalling room</t>
        </is>
      </c>
      <c r="E6002" s="12" t="inlineStr"/>
      <c r="F6002" s="12" t="inlineStr">
        <is>
          <t>LNG 17: LNG e-house (13.8 kV / 480 V)</t>
        </is>
      </c>
      <c r="G6002" s="12" t="inlineStr">
        <is>
          <t>JB-LNG-T1-DI01</t>
        </is>
      </c>
      <c r="H6002" s="12" t="inlineStr">
        <is>
          <t>LNG 11: tank 1, 51,780 gal horizontal vacuum-insulated</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210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K-I-0103</t>
        </is>
      </c>
      <c r="B6003" s="12" t="inlineStr">
        <is>
          <t>K</t>
        </is>
      </c>
      <c r="C6003" s="12" t="inlineStr">
        <is>
          <t>Fuel supply (adjacent market)</t>
        </is>
      </c>
      <c r="D6003" s="12" t="inlineStr">
        <is>
          <t>Analog instrument to JB JB-LNG-T2-AI01: 4 x 1 pr (field cables)</t>
        </is>
      </c>
      <c r="E6003" s="12" t="inlineStr">
        <is>
          <t>LNG-T2</t>
        </is>
      </c>
      <c r="F6003" s="12" t="inlineStr">
        <is>
          <t>LNG 11: tank 2, 51,780 gal horizontal vacuum-insulated</t>
        </is>
      </c>
      <c r="G6003" s="12" t="inlineStr">
        <is>
          <t>JB-LNG-T2-AI01</t>
        </is>
      </c>
      <c r="H6003" s="12" t="inlineStr">
        <is>
          <t>LNG 11: tank 2, 51,780 gal horizontal vacuum-insulated</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K-I-0104</t>
        </is>
      </c>
      <c r="B6004" s="12" t="inlineStr">
        <is>
          <t>K</t>
        </is>
      </c>
      <c r="C6004" s="12" t="inlineStr">
        <is>
          <t>Fuel supply (adjacent market)</t>
        </is>
      </c>
      <c r="D6004" s="12" t="inlineStr">
        <is>
          <t>Home run JB-LNG-T2-AI01 to the control / marshalling room</t>
        </is>
      </c>
      <c r="E6004" s="12" t="inlineStr"/>
      <c r="F6004" s="12" t="inlineStr">
        <is>
          <t>LNG 17: LNG e-house (13.8 kV / 480 V)</t>
        </is>
      </c>
      <c r="G6004" s="12" t="inlineStr">
        <is>
          <t>JB-LNG-T2-AI01</t>
        </is>
      </c>
      <c r="H6004" s="12" t="inlineStr">
        <is>
          <t>LNG 11: tank 2, 51,780 gal horizontal vacuum-insulated</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230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K-I-0105</t>
        </is>
      </c>
      <c r="B6005" s="12" t="inlineStr">
        <is>
          <t>K</t>
        </is>
      </c>
      <c r="C6005" s="12" t="inlineStr">
        <is>
          <t>Fuel supply (adjacent market)</t>
        </is>
      </c>
      <c r="D6005" s="12" t="inlineStr">
        <is>
          <t>Discrete device to JB JB-LNG-T2-DI01: 4 x 1 pr (field cables)</t>
        </is>
      </c>
      <c r="E6005" s="12" t="inlineStr">
        <is>
          <t>LNG-T2</t>
        </is>
      </c>
      <c r="F6005" s="12" t="inlineStr">
        <is>
          <t>LNG 11: tank 2, 51,780 gal horizontal vacuum-insulated</t>
        </is>
      </c>
      <c r="G6005" s="12" t="inlineStr">
        <is>
          <t>JB-LNG-T2-DI01</t>
        </is>
      </c>
      <c r="H6005" s="12" t="inlineStr">
        <is>
          <t>LNG 11: tank 2, 51,780 gal horizontal vacuum-insulated</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4</v>
      </c>
      <c r="O6005" s="12" t="n">
        <v>1</v>
      </c>
      <c r="P6005" s="12" t="n"/>
      <c r="Q6005" s="12" t="n"/>
      <c r="R6005" s="12" t="n"/>
      <c r="S6005" s="12" t="inlineStr">
        <is>
          <t>Tray / conduit</t>
        </is>
      </c>
      <c r="T6005" s="15" t="n">
        <v>77</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K-I-0106</t>
        </is>
      </c>
      <c r="B6006" s="12" t="inlineStr">
        <is>
          <t>K</t>
        </is>
      </c>
      <c r="C6006" s="12" t="inlineStr">
        <is>
          <t>Fuel supply (adjacent market)</t>
        </is>
      </c>
      <c r="D6006" s="12" t="inlineStr">
        <is>
          <t>Home run JB-LNG-T2-DI01 to the control / marshalling room</t>
        </is>
      </c>
      <c r="E6006" s="12" t="inlineStr"/>
      <c r="F6006" s="12" t="inlineStr">
        <is>
          <t>LNG 17: LNG e-house (13.8 kV / 480 V)</t>
        </is>
      </c>
      <c r="G6006" s="12" t="inlineStr">
        <is>
          <t>JB-LNG-T2-DI01</t>
        </is>
      </c>
      <c r="H6006" s="12" t="inlineStr">
        <is>
          <t>LNG 11: tank 2, 51,780 gal horizontal vacuum-insulated</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K-I-0107</t>
        </is>
      </c>
      <c r="B6007" s="12" t="inlineStr">
        <is>
          <t>K</t>
        </is>
      </c>
      <c r="C6007" s="12" t="inlineStr">
        <is>
          <t>Fuel supply (adjacent market)</t>
        </is>
      </c>
      <c r="D6007" s="12" t="inlineStr">
        <is>
          <t>Analog instrument to JB JB-LNG-T3-AI01: 4 x 1 pr (field cables)</t>
        </is>
      </c>
      <c r="E6007" s="12" t="inlineStr">
        <is>
          <t>LNG-T3</t>
        </is>
      </c>
      <c r="F6007" s="12" t="inlineStr">
        <is>
          <t>LNG 11: tank 3, 51,780 gal horizontal vacuum-insulated</t>
        </is>
      </c>
      <c r="G6007" s="12" t="inlineStr">
        <is>
          <t>JB-LNG-T3-AI01</t>
        </is>
      </c>
      <c r="H6007" s="12" t="inlineStr">
        <is>
          <t>LNG 11: tank 3, 51,780 gal horizontal vacuum-insulated</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4</v>
      </c>
      <c r="O6007" s="12" t="n">
        <v>1</v>
      </c>
      <c r="P6007" s="12" t="n"/>
      <c r="Q6007" s="12" t="n"/>
      <c r="R6007" s="12" t="n"/>
      <c r="S6007" s="12" t="inlineStr">
        <is>
          <t>Tray / conduit</t>
        </is>
      </c>
      <c r="T6007" s="15" t="n">
        <v>77</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K-I-0108</t>
        </is>
      </c>
      <c r="B6008" s="12" t="inlineStr">
        <is>
          <t>K</t>
        </is>
      </c>
      <c r="C6008" s="12" t="inlineStr">
        <is>
          <t>Fuel supply (adjacent market)</t>
        </is>
      </c>
      <c r="D6008" s="12" t="inlineStr">
        <is>
          <t>Home run JB-LNG-T3-AI01 to the control / marshalling room</t>
        </is>
      </c>
      <c r="E6008" s="12" t="inlineStr"/>
      <c r="F6008" s="12" t="inlineStr">
        <is>
          <t>LNG 17: LNG e-house (13.8 kV / 480 V)</t>
        </is>
      </c>
      <c r="G6008" s="12" t="inlineStr">
        <is>
          <t>JB-LNG-T3-AI01</t>
        </is>
      </c>
      <c r="H6008" s="12" t="inlineStr">
        <is>
          <t>LNG 11: tank 3, 51,780 gal horizontal vacuum-insulated</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250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K-I-0109</t>
        </is>
      </c>
      <c r="B6009" s="12" t="inlineStr">
        <is>
          <t>K</t>
        </is>
      </c>
      <c r="C6009" s="12" t="inlineStr">
        <is>
          <t>Fuel supply (adjacent market)</t>
        </is>
      </c>
      <c r="D6009" s="12" t="inlineStr">
        <is>
          <t>Discrete device to JB JB-LNG-T3-DI01: 4 x 1 pr (field cables)</t>
        </is>
      </c>
      <c r="E6009" s="12" t="inlineStr">
        <is>
          <t>LNG-T3</t>
        </is>
      </c>
      <c r="F6009" s="12" t="inlineStr">
        <is>
          <t>LNG 11: tank 3, 51,780 gal horizontal vacuum-insulated</t>
        </is>
      </c>
      <c r="G6009" s="12" t="inlineStr">
        <is>
          <t>JB-LNG-T3-DI01</t>
        </is>
      </c>
      <c r="H6009" s="12" t="inlineStr">
        <is>
          <t>LNG 11: tank 3, 51,780 gal horizontal vacuum-insulated</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4</v>
      </c>
      <c r="O6009" s="12" t="n">
        <v>1</v>
      </c>
      <c r="P6009" s="12" t="n"/>
      <c r="Q6009" s="12" t="n"/>
      <c r="R6009" s="12" t="n"/>
      <c r="S6009" s="12" t="inlineStr">
        <is>
          <t>Tray / conduit</t>
        </is>
      </c>
      <c r="T6009" s="15" t="n">
        <v>77</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K-I-0110</t>
        </is>
      </c>
      <c r="B6010" s="12" t="inlineStr">
        <is>
          <t>K</t>
        </is>
      </c>
      <c r="C6010" s="12" t="inlineStr">
        <is>
          <t>Fuel supply (adjacent market)</t>
        </is>
      </c>
      <c r="D6010" s="12" t="inlineStr">
        <is>
          <t>Home run JB-LNG-T3-DI01 to the control / marshalling room</t>
        </is>
      </c>
      <c r="E6010" s="12" t="inlineStr"/>
      <c r="F6010" s="12" t="inlineStr">
        <is>
          <t>LNG 17: LNG e-house (13.8 kV / 480 V)</t>
        </is>
      </c>
      <c r="G6010" s="12" t="inlineStr">
        <is>
          <t>JB-LNG-T3-DI01</t>
        </is>
      </c>
      <c r="H6010" s="12" t="inlineStr">
        <is>
          <t>LNG 11: tank 3, 51,780 gal horizontal vacuum-insulated</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250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K-I-0111</t>
        </is>
      </c>
      <c r="B6011" s="12" t="inlineStr">
        <is>
          <t>K</t>
        </is>
      </c>
      <c r="C6011" s="12" t="inlineStr">
        <is>
          <t>Fuel supply (adjacent market)</t>
        </is>
      </c>
      <c r="D6011" s="12" t="inlineStr">
        <is>
          <t>Analog instrument to JB JB-LNG-T4-AI01: 4 x 1 pr (field cables)</t>
        </is>
      </c>
      <c r="E6011" s="12" t="inlineStr">
        <is>
          <t>LNG-T4</t>
        </is>
      </c>
      <c r="F6011" s="12" t="inlineStr">
        <is>
          <t>LNG 11: tank 4, 51,780 gal horizontal vacuum-insulated</t>
        </is>
      </c>
      <c r="G6011" s="12" t="inlineStr">
        <is>
          <t>JB-LNG-T4-AI01</t>
        </is>
      </c>
      <c r="H6011" s="12" t="inlineStr">
        <is>
          <t>LNG 11: tank 4, 51,780 gal horizontal vacuum-insulated</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4</v>
      </c>
      <c r="O6011" s="12" t="n">
        <v>1</v>
      </c>
      <c r="P6011" s="12" t="n"/>
      <c r="Q6011" s="12" t="n"/>
      <c r="R6011" s="12" t="n"/>
      <c r="S6011" s="12" t="inlineStr">
        <is>
          <t>Tray / conduit</t>
        </is>
      </c>
      <c r="T6011" s="15" t="n">
        <v>77</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K-I-0112</t>
        </is>
      </c>
      <c r="B6012" s="12" t="inlineStr">
        <is>
          <t>K</t>
        </is>
      </c>
      <c r="C6012" s="12" t="inlineStr">
        <is>
          <t>Fuel supply (adjacent market)</t>
        </is>
      </c>
      <c r="D6012" s="12" t="inlineStr">
        <is>
          <t>Home run JB-LNG-T4-AI01 to the control / marshalling room</t>
        </is>
      </c>
      <c r="E6012" s="12" t="inlineStr"/>
      <c r="F6012" s="12" t="inlineStr">
        <is>
          <t>LNG 17: LNG e-house (13.8 kV / 480 V)</t>
        </is>
      </c>
      <c r="G6012" s="12" t="inlineStr">
        <is>
          <t>JB-LNG-T4-AI01</t>
        </is>
      </c>
      <c r="H6012" s="12" t="inlineStr">
        <is>
          <t>LNG 11: tank 4, 51,780 gal horizontal vacuum-insulated</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270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K-I-0113</t>
        </is>
      </c>
      <c r="B6013" s="12" t="inlineStr">
        <is>
          <t>K</t>
        </is>
      </c>
      <c r="C6013" s="12" t="inlineStr">
        <is>
          <t>Fuel supply (adjacent market)</t>
        </is>
      </c>
      <c r="D6013" s="12" t="inlineStr">
        <is>
          <t>Discrete device to JB JB-LNG-T4-DI01: 4 x 1 pr (field cables)</t>
        </is>
      </c>
      <c r="E6013" s="12" t="inlineStr">
        <is>
          <t>LNG-T4</t>
        </is>
      </c>
      <c r="F6013" s="12" t="inlineStr">
        <is>
          <t>LNG 11: tank 4, 51,780 gal horizontal vacuum-insulated</t>
        </is>
      </c>
      <c r="G6013" s="12" t="inlineStr">
        <is>
          <t>JB-LNG-T4-DI01</t>
        </is>
      </c>
      <c r="H6013" s="12" t="inlineStr">
        <is>
          <t>LNG 11: tank 4, 51,780 gal horizontal vacuum-insulated</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4</v>
      </c>
      <c r="O6013" s="12" t="n">
        <v>1</v>
      </c>
      <c r="P6013" s="12" t="n"/>
      <c r="Q6013" s="12" t="n"/>
      <c r="R6013" s="12" t="n"/>
      <c r="S6013" s="12" t="inlineStr">
        <is>
          <t>Tray / conduit</t>
        </is>
      </c>
      <c r="T6013" s="15" t="n">
        <v>77</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K-I-0114</t>
        </is>
      </c>
      <c r="B6014" s="12" t="inlineStr">
        <is>
          <t>K</t>
        </is>
      </c>
      <c r="C6014" s="12" t="inlineStr">
        <is>
          <t>Fuel supply (adjacent market)</t>
        </is>
      </c>
      <c r="D6014" s="12" t="inlineStr">
        <is>
          <t>Home run JB-LNG-T4-DI01 to the control / marshalling room</t>
        </is>
      </c>
      <c r="E6014" s="12" t="inlineStr"/>
      <c r="F6014" s="12" t="inlineStr">
        <is>
          <t>LNG 17: LNG e-house (13.8 kV / 480 V)</t>
        </is>
      </c>
      <c r="G6014" s="12" t="inlineStr">
        <is>
          <t>JB-LNG-T4-DI01</t>
        </is>
      </c>
      <c r="H6014" s="12" t="inlineStr">
        <is>
          <t>LNG 11: tank 4, 51,780 gal horizontal vacuum-insulated</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270</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K-I-0115</t>
        </is>
      </c>
      <c r="B6015" s="12" t="inlineStr">
        <is>
          <t>K</t>
        </is>
      </c>
      <c r="C6015" s="12" t="inlineStr">
        <is>
          <t>Fuel supply (adjacent market)</t>
        </is>
      </c>
      <c r="D6015" s="12" t="inlineStr">
        <is>
          <t>Analog instrument to JB JB-LNG-T5-AI01: 4 x 1 pr (field cables)</t>
        </is>
      </c>
      <c r="E6015" s="12" t="inlineStr">
        <is>
          <t>LNG-T5</t>
        </is>
      </c>
      <c r="F6015" s="12" t="inlineStr">
        <is>
          <t>LNG 11: tank 5, 51,780 gal horizontal vacuum-insulated</t>
        </is>
      </c>
      <c r="G6015" s="12" t="inlineStr">
        <is>
          <t>JB-LNG-T5-AI01</t>
        </is>
      </c>
      <c r="H6015" s="12" t="inlineStr">
        <is>
          <t>LNG 11: tank 5, 51,780 gal horizontal vacuum-insulated</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4</v>
      </c>
      <c r="O6015" s="12" t="n">
        <v>1</v>
      </c>
      <c r="P6015" s="12" t="n"/>
      <c r="Q6015" s="12" t="n"/>
      <c r="R6015" s="12" t="n"/>
      <c r="S6015" s="12" t="inlineStr">
        <is>
          <t>Tray / conduit</t>
        </is>
      </c>
      <c r="T6015" s="15" t="n">
        <v>77</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K-I-0116</t>
        </is>
      </c>
      <c r="B6016" s="12" t="inlineStr">
        <is>
          <t>K</t>
        </is>
      </c>
      <c r="C6016" s="12" t="inlineStr">
        <is>
          <t>Fuel supply (adjacent market)</t>
        </is>
      </c>
      <c r="D6016" s="12" t="inlineStr">
        <is>
          <t>Home run JB-LNG-T5-AI01 to the control / marshalling room</t>
        </is>
      </c>
      <c r="E6016" s="12" t="inlineStr"/>
      <c r="F6016" s="12" t="inlineStr">
        <is>
          <t>LNG 17: LNG e-house (13.8 kV / 480 V)</t>
        </is>
      </c>
      <c r="G6016" s="12" t="inlineStr">
        <is>
          <t>JB-LNG-T5-AI01</t>
        </is>
      </c>
      <c r="H6016" s="12" t="inlineStr">
        <is>
          <t>LNG 11: tank 5, 51,780 gal horizontal vacuum-insulated</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290</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K-I-0117</t>
        </is>
      </c>
      <c r="B6017" s="12" t="inlineStr">
        <is>
          <t>K</t>
        </is>
      </c>
      <c r="C6017" s="12" t="inlineStr">
        <is>
          <t>Fuel supply (adjacent market)</t>
        </is>
      </c>
      <c r="D6017" s="12" t="inlineStr">
        <is>
          <t>Discrete device to JB JB-LNG-T5-DI01: 4 x 1 pr (field cables)</t>
        </is>
      </c>
      <c r="E6017" s="12" t="inlineStr">
        <is>
          <t>LNG-T5</t>
        </is>
      </c>
      <c r="F6017" s="12" t="inlineStr">
        <is>
          <t>LNG 11: tank 5, 51,780 gal horizontal vacuum-insulated</t>
        </is>
      </c>
      <c r="G6017" s="12" t="inlineStr">
        <is>
          <t>JB-LNG-T5-DI01</t>
        </is>
      </c>
      <c r="H6017" s="12" t="inlineStr">
        <is>
          <t>LNG 11: tank 5, 51,780 gal horizontal vacuum-insulated</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4</v>
      </c>
      <c r="O6017" s="12" t="n">
        <v>1</v>
      </c>
      <c r="P6017" s="12" t="n"/>
      <c r="Q6017" s="12" t="n"/>
      <c r="R6017" s="12" t="n"/>
      <c r="S6017" s="12" t="inlineStr">
        <is>
          <t>Tray / conduit</t>
        </is>
      </c>
      <c r="T6017" s="15" t="n">
        <v>77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K-I-0118</t>
        </is>
      </c>
      <c r="B6018" s="12" t="inlineStr">
        <is>
          <t>K</t>
        </is>
      </c>
      <c r="C6018" s="12" t="inlineStr">
        <is>
          <t>Fuel supply (adjacent market)</t>
        </is>
      </c>
      <c r="D6018" s="12" t="inlineStr">
        <is>
          <t>Home run JB-LNG-T5-DI01 to the control / marshalling room</t>
        </is>
      </c>
      <c r="E6018" s="12" t="inlineStr"/>
      <c r="F6018" s="12" t="inlineStr">
        <is>
          <t>LNG 17: LNG e-house (13.8 kV / 480 V)</t>
        </is>
      </c>
      <c r="G6018" s="12" t="inlineStr">
        <is>
          <t>JB-LNG-T5-DI01</t>
        </is>
      </c>
      <c r="H6018" s="12" t="inlineStr">
        <is>
          <t>LNG 11: tank 5, 51,780 gal horizontal vacuum-insulated</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290</v>
      </c>
      <c r="U6018" s="15" t="n">
        <v>32</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K-I-0119</t>
        </is>
      </c>
      <c r="B6019" s="12" t="inlineStr">
        <is>
          <t>K</t>
        </is>
      </c>
      <c r="C6019" s="12" t="inlineStr">
        <is>
          <t>Fuel supply (adjacent market)</t>
        </is>
      </c>
      <c r="D6019" s="12" t="inlineStr">
        <is>
          <t>Analog instrument to JB JB-LNG-T6-AI01: 4 x 1 pr (field cables)</t>
        </is>
      </c>
      <c r="E6019" s="12" t="inlineStr">
        <is>
          <t>LNG-T6</t>
        </is>
      </c>
      <c r="F6019" s="12" t="inlineStr">
        <is>
          <t>LNG 11: tank 6, 51,780 gal horizontal vacuum-insulated</t>
        </is>
      </c>
      <c r="G6019" s="12" t="inlineStr">
        <is>
          <t>JB-LNG-T6-AI01</t>
        </is>
      </c>
      <c r="H6019" s="12" t="inlineStr">
        <is>
          <t>LNG 11: tank 6, 51,780 gal horizontal vacuum-insulated</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4</v>
      </c>
      <c r="O6019" s="12" t="n">
        <v>1</v>
      </c>
      <c r="P6019" s="12" t="n"/>
      <c r="Q6019" s="12" t="n"/>
      <c r="R6019" s="12" t="n"/>
      <c r="S6019" s="12" t="inlineStr">
        <is>
          <t>Tray / conduit</t>
        </is>
      </c>
      <c r="T6019" s="15" t="n">
        <v>77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K-I-0120</t>
        </is>
      </c>
      <c r="B6020" s="12" t="inlineStr">
        <is>
          <t>K</t>
        </is>
      </c>
      <c r="C6020" s="12" t="inlineStr">
        <is>
          <t>Fuel supply (adjacent market)</t>
        </is>
      </c>
      <c r="D6020" s="12" t="inlineStr">
        <is>
          <t>Home run JB-LNG-T6-AI01 to the control / marshalling room</t>
        </is>
      </c>
      <c r="E6020" s="12" t="inlineStr"/>
      <c r="F6020" s="12" t="inlineStr">
        <is>
          <t>LNG 17: LNG e-house (13.8 kV / 480 V)</t>
        </is>
      </c>
      <c r="G6020" s="12" t="inlineStr">
        <is>
          <t>JB-LNG-T6-AI01</t>
        </is>
      </c>
      <c r="H6020" s="12" t="inlineStr">
        <is>
          <t>LNG 11: tank 6, 51,780 gal horizontal vacuum-insulated</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310</v>
      </c>
      <c r="U6020" s="15" t="n">
        <v>32</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K-I-0121</t>
        </is>
      </c>
      <c r="B6021" s="12" t="inlineStr">
        <is>
          <t>K</t>
        </is>
      </c>
      <c r="C6021" s="12" t="inlineStr">
        <is>
          <t>Fuel supply (adjacent market)</t>
        </is>
      </c>
      <c r="D6021" s="12" t="inlineStr">
        <is>
          <t>Discrete device to JB JB-LNG-T6-DI01: 4 x 1 pr (field cables)</t>
        </is>
      </c>
      <c r="E6021" s="12" t="inlineStr">
        <is>
          <t>LNG-T6</t>
        </is>
      </c>
      <c r="F6021" s="12" t="inlineStr">
        <is>
          <t>LNG 11: tank 6, 51,780 gal horizontal vacuum-insulated</t>
        </is>
      </c>
      <c r="G6021" s="12" t="inlineStr">
        <is>
          <t>JB-LNG-T6-DI01</t>
        </is>
      </c>
      <c r="H6021" s="12" t="inlineStr">
        <is>
          <t>LNG 11: tank 6, 51,780 gal horizontal vacuum-insulated</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4</v>
      </c>
      <c r="O6021" s="12" t="n">
        <v>1</v>
      </c>
      <c r="P6021" s="12" t="n"/>
      <c r="Q6021" s="12" t="n"/>
      <c r="R6021" s="12" t="n"/>
      <c r="S6021" s="12" t="inlineStr">
        <is>
          <t>Tray / conduit</t>
        </is>
      </c>
      <c r="T6021" s="15" t="n">
        <v>77</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K-I-0122</t>
        </is>
      </c>
      <c r="B6022" s="12" t="inlineStr">
        <is>
          <t>K</t>
        </is>
      </c>
      <c r="C6022" s="12" t="inlineStr">
        <is>
          <t>Fuel supply (adjacent market)</t>
        </is>
      </c>
      <c r="D6022" s="12" t="inlineStr">
        <is>
          <t>Home run JB-LNG-T6-DI01 to the control / marshalling room</t>
        </is>
      </c>
      <c r="E6022" s="12" t="inlineStr"/>
      <c r="F6022" s="12" t="inlineStr">
        <is>
          <t>LNG 17: LNG e-house (13.8 kV / 480 V)</t>
        </is>
      </c>
      <c r="G6022" s="12" t="inlineStr">
        <is>
          <t>JB-LNG-T6-DI01</t>
        </is>
      </c>
      <c r="H6022" s="12" t="inlineStr">
        <is>
          <t>LNG 11: tank 6, 51,780 gal horizontal vacuum-insulated</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310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K-I-0123</t>
        </is>
      </c>
      <c r="B6023" s="12" t="inlineStr">
        <is>
          <t>K</t>
        </is>
      </c>
      <c r="C6023" s="12" t="inlineStr">
        <is>
          <t>Fuel supply (adjacent market)</t>
        </is>
      </c>
      <c r="D6023" s="12" t="inlineStr">
        <is>
          <t>Analog instrument to JB JB-LNG-T7-AI01: 4 x 1 pr (field cables)</t>
        </is>
      </c>
      <c r="E6023" s="12" t="inlineStr">
        <is>
          <t>LNG-T7</t>
        </is>
      </c>
      <c r="F6023" s="12" t="inlineStr">
        <is>
          <t>LNG 11: tank 7, 51,780 gal horizontal vacuum-insulated</t>
        </is>
      </c>
      <c r="G6023" s="12" t="inlineStr">
        <is>
          <t>JB-LNG-T7-AI01</t>
        </is>
      </c>
      <c r="H6023" s="12" t="inlineStr">
        <is>
          <t>LNG 11: tank 7, 51,780 gal horizontal vacuum-insulated</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4</v>
      </c>
      <c r="O6023" s="12" t="n">
        <v>1</v>
      </c>
      <c r="P6023" s="12" t="n"/>
      <c r="Q6023" s="12" t="n"/>
      <c r="R6023" s="12" t="n"/>
      <c r="S6023" s="12" t="inlineStr">
        <is>
          <t>Tray / conduit</t>
        </is>
      </c>
      <c r="T6023" s="15" t="n">
        <v>77</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K-I-0124</t>
        </is>
      </c>
      <c r="B6024" s="12" t="inlineStr">
        <is>
          <t>K</t>
        </is>
      </c>
      <c r="C6024" s="12" t="inlineStr">
        <is>
          <t>Fuel supply (adjacent market)</t>
        </is>
      </c>
      <c r="D6024" s="12" t="inlineStr">
        <is>
          <t>Home run JB-LNG-T7-AI01 to the control / marshalling room</t>
        </is>
      </c>
      <c r="E6024" s="12" t="inlineStr"/>
      <c r="F6024" s="12" t="inlineStr">
        <is>
          <t>LNG 17: LNG e-house (13.8 kV / 480 V)</t>
        </is>
      </c>
      <c r="G6024" s="12" t="inlineStr">
        <is>
          <t>JB-LNG-T7-AI01</t>
        </is>
      </c>
      <c r="H6024" s="12" t="inlineStr">
        <is>
          <t>LNG 11: tank 7, 51,780 gal horizontal vacuum-insulated</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330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K-I-0125</t>
        </is>
      </c>
      <c r="B6025" s="12" t="inlineStr">
        <is>
          <t>K</t>
        </is>
      </c>
      <c r="C6025" s="12" t="inlineStr">
        <is>
          <t>Fuel supply (adjacent market)</t>
        </is>
      </c>
      <c r="D6025" s="12" t="inlineStr">
        <is>
          <t>Discrete device to JB JB-LNG-T7-DI01: 4 x 1 pr (field cables)</t>
        </is>
      </c>
      <c r="E6025" s="12" t="inlineStr">
        <is>
          <t>LNG-T7</t>
        </is>
      </c>
      <c r="F6025" s="12" t="inlineStr">
        <is>
          <t>LNG 11: tank 7, 51,780 gal horizontal vacuum-insulated</t>
        </is>
      </c>
      <c r="G6025" s="12" t="inlineStr">
        <is>
          <t>JB-LNG-T7-DI01</t>
        </is>
      </c>
      <c r="H6025" s="12" t="inlineStr">
        <is>
          <t>LNG 11: tank 7, 51,780 gal horizontal vacuum-insulated</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4</v>
      </c>
      <c r="O6025" s="12" t="n">
        <v>1</v>
      </c>
      <c r="P6025" s="12" t="n"/>
      <c r="Q6025" s="12" t="n"/>
      <c r="R6025" s="12" t="n"/>
      <c r="S6025" s="12" t="inlineStr">
        <is>
          <t>Tray / conduit</t>
        </is>
      </c>
      <c r="T6025" s="15" t="n">
        <v>77</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K-I-0126</t>
        </is>
      </c>
      <c r="B6026" s="12" t="inlineStr">
        <is>
          <t>K</t>
        </is>
      </c>
      <c r="C6026" s="12" t="inlineStr">
        <is>
          <t>Fuel supply (adjacent market)</t>
        </is>
      </c>
      <c r="D6026" s="12" t="inlineStr">
        <is>
          <t>Home run JB-LNG-T7-DI01 to the control / marshalling room</t>
        </is>
      </c>
      <c r="E6026" s="12" t="inlineStr"/>
      <c r="F6026" s="12" t="inlineStr">
        <is>
          <t>LNG 17: LNG e-house (13.8 kV / 480 V)</t>
        </is>
      </c>
      <c r="G6026" s="12" t="inlineStr">
        <is>
          <t>JB-LNG-T7-DI01</t>
        </is>
      </c>
      <c r="H6026" s="12" t="inlineStr">
        <is>
          <t>LNG 11: tank 7, 51,780 gal horizontal vacuum-insulated</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Duct bank</t>
        </is>
      </c>
      <c r="T6026" s="15" t="n">
        <v>330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K-I-0127</t>
        </is>
      </c>
      <c r="B6027" s="12" t="inlineStr">
        <is>
          <t>K</t>
        </is>
      </c>
      <c r="C6027" s="12" t="inlineStr">
        <is>
          <t>Fuel supply (adjacent market)</t>
        </is>
      </c>
      <c r="D6027" s="12" t="inlineStr">
        <is>
          <t>Analog instrument to JB JB-LNG-T8-AI01: 4 x 1 pr (field cables)</t>
        </is>
      </c>
      <c r="E6027" s="12" t="inlineStr">
        <is>
          <t>LNG-T8</t>
        </is>
      </c>
      <c r="F6027" s="12" t="inlineStr">
        <is>
          <t>LNG 11: tank 8, 51,780 gal horizontal vacuum-insulated</t>
        </is>
      </c>
      <c r="G6027" s="12" t="inlineStr">
        <is>
          <t>JB-LNG-T8-AI01</t>
        </is>
      </c>
      <c r="H6027" s="12" t="inlineStr">
        <is>
          <t>LNG 11: tank 8, 51,780 gal horizontal vacuum-insulated</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4</v>
      </c>
      <c r="O6027" s="12" t="n">
        <v>1</v>
      </c>
      <c r="P6027" s="12" t="n"/>
      <c r="Q6027" s="12" t="n"/>
      <c r="R6027" s="12" t="n"/>
      <c r="S6027" s="12" t="inlineStr">
        <is>
          <t>Tray / conduit</t>
        </is>
      </c>
      <c r="T6027" s="15" t="n">
        <v>77</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K-I-0128</t>
        </is>
      </c>
      <c r="B6028" s="12" t="inlineStr">
        <is>
          <t>K</t>
        </is>
      </c>
      <c r="C6028" s="12" t="inlineStr">
        <is>
          <t>Fuel supply (adjacent market)</t>
        </is>
      </c>
      <c r="D6028" s="12" t="inlineStr">
        <is>
          <t>Home run JB-LNG-T8-AI01 to the control / marshalling room</t>
        </is>
      </c>
      <c r="E6028" s="12" t="inlineStr"/>
      <c r="F6028" s="12" t="inlineStr">
        <is>
          <t>LNG 17: LNG e-house (13.8 kV / 480 V)</t>
        </is>
      </c>
      <c r="G6028" s="12" t="inlineStr">
        <is>
          <t>JB-LNG-T8-AI01</t>
        </is>
      </c>
      <c r="H6028" s="12" t="inlineStr">
        <is>
          <t>LNG 11: tank 8, 51,780 gal horizontal vacuum-insulated</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Duct bank</t>
        </is>
      </c>
      <c r="T6028" s="15" t="n">
        <v>350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K-I-0129</t>
        </is>
      </c>
      <c r="B6029" s="12" t="inlineStr">
        <is>
          <t>K</t>
        </is>
      </c>
      <c r="C6029" s="12" t="inlineStr">
        <is>
          <t>Fuel supply (adjacent market)</t>
        </is>
      </c>
      <c r="D6029" s="12" t="inlineStr">
        <is>
          <t>Discrete device to JB JB-LNG-T8-DI01: 4 x 1 pr (field cables)</t>
        </is>
      </c>
      <c r="E6029" s="12" t="inlineStr">
        <is>
          <t>LNG-T8</t>
        </is>
      </c>
      <c r="F6029" s="12" t="inlineStr">
        <is>
          <t>LNG 11: tank 8, 51,780 gal horizontal vacuum-insulated</t>
        </is>
      </c>
      <c r="G6029" s="12" t="inlineStr">
        <is>
          <t>JB-LNG-T8-DI01</t>
        </is>
      </c>
      <c r="H6029" s="12" t="inlineStr">
        <is>
          <t>LNG 11: tank 8, 51,780 gal horizontal vacuum-insulated</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4</v>
      </c>
      <c r="O6029" s="12" t="n">
        <v>1</v>
      </c>
      <c r="P6029" s="12" t="n"/>
      <c r="Q6029" s="12" t="n"/>
      <c r="R6029" s="12" t="n"/>
      <c r="S6029" s="12" t="inlineStr">
        <is>
          <t>Tray / conduit</t>
        </is>
      </c>
      <c r="T6029" s="15" t="n">
        <v>77</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K-I-0130</t>
        </is>
      </c>
      <c r="B6030" s="12" t="inlineStr">
        <is>
          <t>K</t>
        </is>
      </c>
      <c r="C6030" s="12" t="inlineStr">
        <is>
          <t>Fuel supply (adjacent market)</t>
        </is>
      </c>
      <c r="D6030" s="12" t="inlineStr">
        <is>
          <t>Home run JB-LNG-T8-DI01 to the control / marshalling room</t>
        </is>
      </c>
      <c r="E6030" s="12" t="inlineStr"/>
      <c r="F6030" s="12" t="inlineStr">
        <is>
          <t>LNG 17: LNG e-house (13.8 kV / 480 V)</t>
        </is>
      </c>
      <c r="G6030" s="12" t="inlineStr">
        <is>
          <t>JB-LNG-T8-DI01</t>
        </is>
      </c>
      <c r="H6030" s="12" t="inlineStr">
        <is>
          <t>LNG 11: tank 8, 51,780 gal horizontal vacuum-insulated</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350</v>
      </c>
      <c r="U6030" s="15" t="n">
        <v>32</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K-I-0131</t>
        </is>
      </c>
      <c r="B6031" s="12" t="inlineStr">
        <is>
          <t>K</t>
        </is>
      </c>
      <c r="C6031" s="12" t="inlineStr">
        <is>
          <t>Fuel supply (adjacent market)</t>
        </is>
      </c>
      <c r="D6031" s="12" t="inlineStr">
        <is>
          <t>Analog instrument to JB JB-LNG 12: spill impo-AI01: 12 x 1 pr (field cables)</t>
        </is>
      </c>
      <c r="E6031" s="12" t="inlineStr"/>
      <c r="F6031" s="12" t="inlineStr">
        <is>
          <t>LNG 12: spill impoundment (NFPA 59A, to verify)</t>
        </is>
      </c>
      <c r="G6031" s="12" t="inlineStr">
        <is>
          <t>JB-LNG 12: spill impo-AI01</t>
        </is>
      </c>
      <c r="H6031" s="12" t="inlineStr">
        <is>
          <t>LNG 12: spill impoundment (NFPA 59A, to verify)</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170</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K-I-0132</t>
        </is>
      </c>
      <c r="B6032" s="12" t="inlineStr">
        <is>
          <t>K</t>
        </is>
      </c>
      <c r="C6032" s="12" t="inlineStr">
        <is>
          <t>Fuel supply (adjacent market)</t>
        </is>
      </c>
      <c r="D6032" s="12" t="inlineStr">
        <is>
          <t>Home run JB-LNG 12: spill impo-AI01 to the control / marshalling room</t>
        </is>
      </c>
      <c r="E6032" s="12" t="inlineStr"/>
      <c r="F6032" s="12" t="inlineStr">
        <is>
          <t>LNG 17: LNG e-house (13.8 kV / 480 V)</t>
        </is>
      </c>
      <c r="G6032" s="12" t="inlineStr">
        <is>
          <t>JB-LNG 12: spill impo-AI01</t>
        </is>
      </c>
      <c r="H6032" s="12" t="inlineStr">
        <is>
          <t>LNG 12: spill impoundment (NFPA 59A, to verify)</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230</v>
      </c>
      <c r="U6032" s="15" t="n">
        <v>32</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K-I-0133</t>
        </is>
      </c>
      <c r="B6033" s="12" t="inlineStr">
        <is>
          <t>K</t>
        </is>
      </c>
      <c r="C6033" s="12" t="inlineStr">
        <is>
          <t>Fuel supply (adjacent market)</t>
        </is>
      </c>
      <c r="D6033" s="12" t="inlineStr">
        <is>
          <t>Discrete device to JB JB-LNG 12: spill impo-DI01: 12 x 1 pr (field cables)</t>
        </is>
      </c>
      <c r="E6033" s="12" t="inlineStr"/>
      <c r="F6033" s="12" t="inlineStr">
        <is>
          <t>LNG 12: spill impoundment (NFPA 59A, to verify)</t>
        </is>
      </c>
      <c r="G6033" s="12" t="inlineStr">
        <is>
          <t>JB-LNG 12: spill impo-DI01</t>
        </is>
      </c>
      <c r="H6033" s="12" t="inlineStr">
        <is>
          <t>LNG 12: spill impoundment (NFPA 59A, to verify)</t>
        </is>
      </c>
      <c r="I6033" s="12" t="inlineStr">
        <is>
          <t>Instrumentation</t>
        </is>
      </c>
      <c r="J6033" s="12" t="inlineStr">
        <is>
          <t>Instrumentation ITC / PLTC, IS, #18 shielded pairs, blue jacket</t>
        </is>
      </c>
      <c r="K6033" s="12" t="inlineStr">
        <is>
          <t>ITC|1 pr|16</t>
        </is>
      </c>
      <c r="L6033" s="12" t="inlineStr">
        <is>
          <t>1 pr</t>
        </is>
      </c>
      <c r="M6033" s="12" t="inlineStr">
        <is>
          <t>16</t>
        </is>
      </c>
      <c r="N6033" s="12" t="n">
        <v>12</v>
      </c>
      <c r="O6033" s="12" t="n">
        <v>1</v>
      </c>
      <c r="P6033" s="12" t="n"/>
      <c r="Q6033" s="12" t="n"/>
      <c r="R6033" s="12" t="n"/>
      <c r="S6033" s="12" t="inlineStr">
        <is>
          <t>Tray / conduit</t>
        </is>
      </c>
      <c r="T6033" s="15" t="n">
        <v>170</v>
      </c>
      <c r="U6033" s="15" t="n">
        <v>10</v>
      </c>
      <c r="V6033" s="15">
        <f>ROUNDUP((T6033+U6033+2*'Read Me'!$B$13)*(1+'Read Me'!$B$12),-1)</f>
        <v/>
      </c>
      <c r="W6033" s="15">
        <f>V6033*N6033*O6033</f>
        <v/>
      </c>
      <c r="X6033" s="12">
        <f>IF(LEFT(I6033,2)="MV",2*N6033*IF(L6033="1/C",O6033,1),0)</f>
        <v/>
      </c>
      <c r="Y6033" s="12">
        <f>IF(OR(LEFT(K6033,4)="LVAX",LEFT(K6033,6)="MV15AX",LEFT(K6033,4)="CTAX",LEFT(K6033,2)="W|"),2*N6033*O6033,0)</f>
        <v/>
      </c>
      <c r="Z6033" s="12" t="inlineStr">
        <is>
          <t>device-to-JB field wiring, one cable per device</t>
        </is>
      </c>
      <c r="AA6033" s="12">
        <f>N6033*O6033</f>
        <v/>
      </c>
    </row>
    <row r="6034">
      <c r="A6034" s="12" t="inlineStr">
        <is>
          <t>K-I-0134</t>
        </is>
      </c>
      <c r="B6034" s="12" t="inlineStr">
        <is>
          <t>K</t>
        </is>
      </c>
      <c r="C6034" s="12" t="inlineStr">
        <is>
          <t>Fuel supply (adjacent market)</t>
        </is>
      </c>
      <c r="D6034" s="12" t="inlineStr">
        <is>
          <t>Home run JB-LNG 12: spill impo-DI01 to the control / marshalling room</t>
        </is>
      </c>
      <c r="E6034" s="12" t="inlineStr"/>
      <c r="F6034" s="12" t="inlineStr">
        <is>
          <t>LNG 17: LNG e-house (13.8 kV / 480 V)</t>
        </is>
      </c>
      <c r="G6034" s="12" t="inlineStr">
        <is>
          <t>JB-LNG 12: spill impo-DI01</t>
        </is>
      </c>
      <c r="H6034" s="12" t="inlineStr">
        <is>
          <t>LNG 12: spill impoundment (NFPA 59A, to verify)</t>
        </is>
      </c>
      <c r="I6034" s="12" t="inlineStr">
        <is>
          <t>Instrumentation</t>
        </is>
      </c>
      <c r="J6034" s="12" t="inlineStr">
        <is>
          <t>Instrumentation ITC / PLTC, IS, #18 shielded pairs, blue jacket</t>
        </is>
      </c>
      <c r="K6034" s="12" t="inlineStr">
        <is>
          <t>ITC|24 pr|18</t>
        </is>
      </c>
      <c r="L6034" s="12" t="inlineStr">
        <is>
          <t>24 pr</t>
        </is>
      </c>
      <c r="M6034" s="12" t="inlineStr">
        <is>
          <t>18</t>
        </is>
      </c>
      <c r="N6034" s="12" t="n">
        <v>1</v>
      </c>
      <c r="O6034" s="12" t="n">
        <v>1</v>
      </c>
      <c r="P6034" s="12" t="n"/>
      <c r="Q6034" s="12" t="n"/>
      <c r="R6034" s="12" t="n"/>
      <c r="S6034" s="12" t="inlineStr">
        <is>
          <t>Duct bank</t>
        </is>
      </c>
      <c r="T6034" s="15" t="n">
        <v>230</v>
      </c>
      <c r="U6034" s="15" t="n">
        <v>32</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K-I-0135</t>
        </is>
      </c>
      <c r="B6035" s="12" t="inlineStr">
        <is>
          <t>K</t>
        </is>
      </c>
      <c r="C6035" s="12" t="inlineStr">
        <is>
          <t>Fuel supply (adjacent market)</t>
        </is>
      </c>
      <c r="D6035" s="12" t="inlineStr">
        <is>
          <t>Analog instrument to JB JB-LNG 13: send-out p-AI01: 12 x 1 pr (field cables)</t>
        </is>
      </c>
      <c r="E6035" s="12" t="inlineStr"/>
      <c r="F6035" s="12" t="inlineStr">
        <is>
          <t>LNG 13: send-out pumps 2 x 100%</t>
        </is>
      </c>
      <c r="G6035" s="12" t="inlineStr">
        <is>
          <t>JB-LNG 13: send-out p-AI01</t>
        </is>
      </c>
      <c r="H6035" s="12" t="inlineStr">
        <is>
          <t>LNG 13: send-out pumps 2 x 100%</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12</v>
      </c>
      <c r="O6035" s="12" t="n">
        <v>1</v>
      </c>
      <c r="P6035" s="12" t="n"/>
      <c r="Q6035" s="12" t="n"/>
      <c r="R6035" s="12" t="n"/>
      <c r="S6035" s="12" t="inlineStr">
        <is>
          <t>Tray / conduit</t>
        </is>
      </c>
      <c r="T6035" s="15" t="n">
        <v>63</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K-I-0136</t>
        </is>
      </c>
      <c r="B6036" s="12" t="inlineStr">
        <is>
          <t>K</t>
        </is>
      </c>
      <c r="C6036" s="12" t="inlineStr">
        <is>
          <t>Fuel supply (adjacent market)</t>
        </is>
      </c>
      <c r="D6036" s="12" t="inlineStr">
        <is>
          <t>Home run JB-LNG 13: send-out p-AI01 to the control / marshalling room</t>
        </is>
      </c>
      <c r="E6036" s="12" t="inlineStr"/>
      <c r="F6036" s="12" t="inlineStr">
        <is>
          <t>LNG 17: LNG e-house (13.8 kV / 480 V)</t>
        </is>
      </c>
      <c r="G6036" s="12" t="inlineStr">
        <is>
          <t>JB-LNG 13: send-out p-AI01</t>
        </is>
      </c>
      <c r="H6036" s="12" t="inlineStr">
        <is>
          <t>LNG 13: send-out pumps 2 x 100%</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110</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K-I-0137</t>
        </is>
      </c>
      <c r="B6037" s="12" t="inlineStr">
        <is>
          <t>K</t>
        </is>
      </c>
      <c r="C6037" s="12" t="inlineStr">
        <is>
          <t>Fuel supply (adjacent market)</t>
        </is>
      </c>
      <c r="D6037" s="12" t="inlineStr">
        <is>
          <t>Discrete device to JB JB-LNG 13: send-out p-DI01: 12 x 1 pr (field cables)</t>
        </is>
      </c>
      <c r="E6037" s="12" t="inlineStr"/>
      <c r="F6037" s="12" t="inlineStr">
        <is>
          <t>LNG 13: send-out pumps 2 x 100%</t>
        </is>
      </c>
      <c r="G6037" s="12" t="inlineStr">
        <is>
          <t>JB-LNG 13: send-out p-DI01</t>
        </is>
      </c>
      <c r="H6037" s="12" t="inlineStr">
        <is>
          <t>LNG 13: send-out pumps 2 x 100%</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12</v>
      </c>
      <c r="O6037" s="12" t="n">
        <v>1</v>
      </c>
      <c r="P6037" s="12" t="n"/>
      <c r="Q6037" s="12" t="n"/>
      <c r="R6037" s="12" t="n"/>
      <c r="S6037" s="12" t="inlineStr">
        <is>
          <t>Tray / conduit</t>
        </is>
      </c>
      <c r="T6037" s="15" t="n">
        <v>63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K-I-0138</t>
        </is>
      </c>
      <c r="B6038" s="12" t="inlineStr">
        <is>
          <t>K</t>
        </is>
      </c>
      <c r="C6038" s="12" t="inlineStr">
        <is>
          <t>Fuel supply (adjacent market)</t>
        </is>
      </c>
      <c r="D6038" s="12" t="inlineStr">
        <is>
          <t>Home run JB-LNG 13: send-out p-DI01 to the control / marshalling room</t>
        </is>
      </c>
      <c r="E6038" s="12" t="inlineStr"/>
      <c r="F6038" s="12" t="inlineStr">
        <is>
          <t>LNG 17: LNG e-house (13.8 kV / 480 V)</t>
        </is>
      </c>
      <c r="G6038" s="12" t="inlineStr">
        <is>
          <t>JB-LNG 13: send-out p-DI01</t>
        </is>
      </c>
      <c r="H6038" s="12" t="inlineStr">
        <is>
          <t>LNG 13: send-out pumps 2 x 100%</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110</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K-I-0139</t>
        </is>
      </c>
      <c r="B6039" s="12" t="inlineStr">
        <is>
          <t>K</t>
        </is>
      </c>
      <c r="C6039" s="12" t="inlineStr">
        <is>
          <t>Fuel supply (adjacent market)</t>
        </is>
      </c>
      <c r="D6039" s="12" t="inlineStr">
        <is>
          <t>Analog instrument to JB JB-LNG 14: vaporizers-AI01: 12 x 1 pr (field cables)</t>
        </is>
      </c>
      <c r="E6039" s="12" t="inlineStr"/>
      <c r="F6039" s="12" t="inlineStr">
        <is>
          <t>LNG 14: vaporizers + glycol heater</t>
        </is>
      </c>
      <c r="G6039" s="12" t="inlineStr">
        <is>
          <t>JB-LNG 14: vaporizers-AI01</t>
        </is>
      </c>
      <c r="H6039" s="12" t="inlineStr">
        <is>
          <t>LNG 14: vaporizers + glycol heater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122</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K-I-0140</t>
        </is>
      </c>
      <c r="B6040" s="12" t="inlineStr">
        <is>
          <t>K</t>
        </is>
      </c>
      <c r="C6040" s="12" t="inlineStr">
        <is>
          <t>Fuel supply (adjacent market)</t>
        </is>
      </c>
      <c r="D6040" s="12" t="inlineStr">
        <is>
          <t>Home run JB-LNG 14: vaporizers-AI01 to the control / marshalling room</t>
        </is>
      </c>
      <c r="E6040" s="12" t="inlineStr"/>
      <c r="F6040" s="12" t="inlineStr">
        <is>
          <t>LNG 17: LNG e-house (13.8 kV / 480 V)</t>
        </is>
      </c>
      <c r="G6040" s="12" t="inlineStr">
        <is>
          <t>JB-LNG 14: vaporizers-AI01</t>
        </is>
      </c>
      <c r="H6040" s="12" t="inlineStr">
        <is>
          <t>LNG 14: vaporizers + glycol heater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259</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K-I-0141</t>
        </is>
      </c>
      <c r="B6041" s="12" t="inlineStr">
        <is>
          <t>K</t>
        </is>
      </c>
      <c r="C6041" s="12" t="inlineStr">
        <is>
          <t>Fuel supply (adjacent market)</t>
        </is>
      </c>
      <c r="D6041" s="12" t="inlineStr">
        <is>
          <t>Discrete device to JB JB-LNG 14: vaporizers-DI01: 12 x 1 pr (field cables)</t>
        </is>
      </c>
      <c r="E6041" s="12" t="inlineStr"/>
      <c r="F6041" s="12" t="inlineStr">
        <is>
          <t>LNG 14: vaporizers + glycol heater</t>
        </is>
      </c>
      <c r="G6041" s="12" t="inlineStr">
        <is>
          <t>JB-LNG 14: vaporizers-DI01</t>
        </is>
      </c>
      <c r="H6041" s="12" t="inlineStr">
        <is>
          <t>LNG 14: vaporizers + glycol heater</t>
        </is>
      </c>
      <c r="I6041" s="12" t="inlineStr">
        <is>
          <t>Instrumentation</t>
        </is>
      </c>
      <c r="J6041" s="12" t="inlineStr">
        <is>
          <t>Instrumentation ITC / PLTC, IS, #18 shielded pairs, blue jacket</t>
        </is>
      </c>
      <c r="K6041" s="12" t="inlineStr">
        <is>
          <t>ITC|1 pr|16</t>
        </is>
      </c>
      <c r="L6041" s="12" t="inlineStr">
        <is>
          <t>1 pr</t>
        </is>
      </c>
      <c r="M6041" s="12" t="inlineStr">
        <is>
          <t>16</t>
        </is>
      </c>
      <c r="N6041" s="12" t="n">
        <v>12</v>
      </c>
      <c r="O6041" s="12" t="n">
        <v>1</v>
      </c>
      <c r="P6041" s="12" t="n"/>
      <c r="Q6041" s="12" t="n"/>
      <c r="R6041" s="12" t="n"/>
      <c r="S6041" s="12" t="inlineStr">
        <is>
          <t>Tray / conduit</t>
        </is>
      </c>
      <c r="T6041" s="15" t="n">
        <v>122</v>
      </c>
      <c r="U6041" s="15" t="n">
        <v>10</v>
      </c>
      <c r="V6041" s="15">
        <f>ROUNDUP((T6041+U6041+2*'Read Me'!$B$13)*(1+'Read Me'!$B$12),-1)</f>
        <v/>
      </c>
      <c r="W6041" s="15">
        <f>V6041*N6041*O6041</f>
        <v/>
      </c>
      <c r="X6041" s="12">
        <f>IF(LEFT(I6041,2)="MV",2*N6041*IF(L6041="1/C",O6041,1),0)</f>
        <v/>
      </c>
      <c r="Y6041" s="12">
        <f>IF(OR(LEFT(K6041,4)="LVAX",LEFT(K6041,6)="MV15AX",LEFT(K6041,4)="CTAX",LEFT(K6041,2)="W|"),2*N6041*O6041,0)</f>
        <v/>
      </c>
      <c r="Z6041" s="12" t="inlineStr">
        <is>
          <t>device-to-JB field wiring, one cable per device</t>
        </is>
      </c>
      <c r="AA6041" s="12">
        <f>N6041*O6041</f>
        <v/>
      </c>
    </row>
    <row r="6042">
      <c r="A6042" s="12" t="inlineStr">
        <is>
          <t>K-I-0142</t>
        </is>
      </c>
      <c r="B6042" s="12" t="inlineStr">
        <is>
          <t>K</t>
        </is>
      </c>
      <c r="C6042" s="12" t="inlineStr">
        <is>
          <t>Fuel supply (adjacent market)</t>
        </is>
      </c>
      <c r="D6042" s="12" t="inlineStr">
        <is>
          <t>Home run JB-LNG 14: vaporizers-DI01 to the control / marshalling room</t>
        </is>
      </c>
      <c r="E6042" s="12" t="inlineStr"/>
      <c r="F6042" s="12" t="inlineStr">
        <is>
          <t>LNG 17: LNG e-house (13.8 kV / 480 V)</t>
        </is>
      </c>
      <c r="G6042" s="12" t="inlineStr">
        <is>
          <t>JB-LNG 14: vaporizers-DI01</t>
        </is>
      </c>
      <c r="H6042" s="12" t="inlineStr">
        <is>
          <t>LNG 14: vaporizers + glycol heater</t>
        </is>
      </c>
      <c r="I6042" s="12" t="inlineStr">
        <is>
          <t>Instrumentation</t>
        </is>
      </c>
      <c r="J6042" s="12" t="inlineStr">
        <is>
          <t>Instrumentation ITC / PLTC, IS, #18 shielded pairs, blue jacket</t>
        </is>
      </c>
      <c r="K6042" s="12" t="inlineStr">
        <is>
          <t>ITC|24 pr|18</t>
        </is>
      </c>
      <c r="L6042" s="12" t="inlineStr">
        <is>
          <t>24 pr</t>
        </is>
      </c>
      <c r="M6042" s="12" t="inlineStr">
        <is>
          <t>18</t>
        </is>
      </c>
      <c r="N6042" s="12" t="n">
        <v>1</v>
      </c>
      <c r="O6042" s="12" t="n">
        <v>1</v>
      </c>
      <c r="P6042" s="12" t="n"/>
      <c r="Q6042" s="12" t="n"/>
      <c r="R6042" s="12" t="n"/>
      <c r="S6042" s="12" t="inlineStr">
        <is>
          <t>Duct bank</t>
        </is>
      </c>
      <c r="T6042" s="15" t="n">
        <v>259</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K-I-0143</t>
        </is>
      </c>
      <c r="B6043" s="12" t="inlineStr">
        <is>
          <t>K</t>
        </is>
      </c>
      <c r="C6043" s="12" t="inlineStr">
        <is>
          <t>Fuel supply (adjacent market)</t>
        </is>
      </c>
      <c r="D6043" s="12" t="inlineStr">
        <is>
          <t>Analog instrument to JB JB-LNG 15: boil-off g-AI01: 12 x 1 pr (field cables)</t>
        </is>
      </c>
      <c r="E6043" s="12" t="inlineStr"/>
      <c r="F6043" s="12" t="inlineStr">
        <is>
          <t>LNG 15: boil-off gas compressor</t>
        </is>
      </c>
      <c r="G6043" s="12" t="inlineStr">
        <is>
          <t>JB-LNG 15: boil-off g-AI01</t>
        </is>
      </c>
      <c r="H6043" s="12" t="inlineStr">
        <is>
          <t>LNG 15: boil-off gas compressor</t>
        </is>
      </c>
      <c r="I6043" s="12" t="inlineStr">
        <is>
          <t>Instrumentation</t>
        </is>
      </c>
      <c r="J6043" s="12" t="inlineStr">
        <is>
          <t>Instrumentation ITC / PLTC, IS, #18 shielded pairs, blue jacket</t>
        </is>
      </c>
      <c r="K6043" s="12" t="inlineStr">
        <is>
          <t>ITC|1 pr|16</t>
        </is>
      </c>
      <c r="L6043" s="12" t="inlineStr">
        <is>
          <t>1 pr</t>
        </is>
      </c>
      <c r="M6043" s="12" t="inlineStr">
        <is>
          <t>16</t>
        </is>
      </c>
      <c r="N6043" s="12" t="n">
        <v>12</v>
      </c>
      <c r="O6043" s="12" t="n">
        <v>1</v>
      </c>
      <c r="P6043" s="12" t="n"/>
      <c r="Q6043" s="12" t="n"/>
      <c r="R6043" s="12" t="n"/>
      <c r="S6043" s="12" t="inlineStr">
        <is>
          <t>Tray / conduit</t>
        </is>
      </c>
      <c r="T6043" s="15" t="n">
        <v>67</v>
      </c>
      <c r="U6043" s="15" t="n">
        <v>10</v>
      </c>
      <c r="V6043" s="15">
        <f>ROUNDUP((T6043+U6043+2*'Read Me'!$B$13)*(1+'Read Me'!$B$12),-1)</f>
        <v/>
      </c>
      <c r="W6043" s="15">
        <f>V6043*N6043*O6043</f>
        <v/>
      </c>
      <c r="X6043" s="12">
        <f>IF(LEFT(I6043,2)="MV",2*N6043*IF(L6043="1/C",O6043,1),0)</f>
        <v/>
      </c>
      <c r="Y6043" s="12">
        <f>IF(OR(LEFT(K6043,4)="LVAX",LEFT(K6043,6)="MV15AX",LEFT(K6043,4)="CTAX",LEFT(K6043,2)="W|"),2*N6043*O6043,0)</f>
        <v/>
      </c>
      <c r="Z6043" s="12" t="inlineStr">
        <is>
          <t>device-to-JB field wiring, one cable per device</t>
        </is>
      </c>
      <c r="AA6043" s="12">
        <f>N6043*O6043</f>
        <v/>
      </c>
    </row>
    <row r="6044">
      <c r="A6044" s="12" t="inlineStr">
        <is>
          <t>K-I-0144</t>
        </is>
      </c>
      <c r="B6044" s="12" t="inlineStr">
        <is>
          <t>K</t>
        </is>
      </c>
      <c r="C6044" s="12" t="inlineStr">
        <is>
          <t>Fuel supply (adjacent market)</t>
        </is>
      </c>
      <c r="D6044" s="12" t="inlineStr">
        <is>
          <t>Home run JB-LNG 15: boil-off g-AI01 to the control / marshalling room</t>
        </is>
      </c>
      <c r="E6044" s="12" t="inlineStr"/>
      <c r="F6044" s="12" t="inlineStr">
        <is>
          <t>LNG 17: LNG e-house (13.8 kV / 480 V)</t>
        </is>
      </c>
      <c r="G6044" s="12" t="inlineStr">
        <is>
          <t>JB-LNG 15: boil-off g-AI01</t>
        </is>
      </c>
      <c r="H6044" s="12" t="inlineStr">
        <is>
          <t>LNG 15: boil-off gas compressor</t>
        </is>
      </c>
      <c r="I6044" s="12" t="inlineStr">
        <is>
          <t>Instrumentation</t>
        </is>
      </c>
      <c r="J6044" s="12" t="inlineStr">
        <is>
          <t>Instrumentation ITC / PLTC, IS, #18 shielded pairs, blue jacket</t>
        </is>
      </c>
      <c r="K6044" s="12" t="inlineStr">
        <is>
          <t>ITC|24 pr|18</t>
        </is>
      </c>
      <c r="L6044" s="12" t="inlineStr">
        <is>
          <t>24 pr</t>
        </is>
      </c>
      <c r="M6044" s="12" t="inlineStr">
        <is>
          <t>18</t>
        </is>
      </c>
      <c r="N6044" s="12" t="n">
        <v>1</v>
      </c>
      <c r="O6044" s="12" t="n">
        <v>1</v>
      </c>
      <c r="P6044" s="12" t="n"/>
      <c r="Q6044" s="12" t="n"/>
      <c r="R6044" s="12" t="n"/>
      <c r="S6044" s="12" t="inlineStr">
        <is>
          <t>Duct bank</t>
        </is>
      </c>
      <c r="T6044" s="15" t="n">
        <v>25</v>
      </c>
      <c r="U6044" s="15" t="n">
        <v>54</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K-I-0145</t>
        </is>
      </c>
      <c r="B6045" s="12" t="inlineStr">
        <is>
          <t>K</t>
        </is>
      </c>
      <c r="C6045" s="12" t="inlineStr">
        <is>
          <t>Fuel supply (adjacent market)</t>
        </is>
      </c>
      <c r="D6045" s="12" t="inlineStr">
        <is>
          <t>Discrete device to JB JB-LNG 15: boil-off g-DI01: 12 x 1 pr (field cables)</t>
        </is>
      </c>
      <c r="E6045" s="12" t="inlineStr"/>
      <c r="F6045" s="12" t="inlineStr">
        <is>
          <t>LNG 15: boil-off gas compressor</t>
        </is>
      </c>
      <c r="G6045" s="12" t="inlineStr">
        <is>
          <t>JB-LNG 15: boil-off g-DI01</t>
        </is>
      </c>
      <c r="H6045" s="12" t="inlineStr">
        <is>
          <t>LNG 15: boil-off gas compressor</t>
        </is>
      </c>
      <c r="I6045" s="12" t="inlineStr">
        <is>
          <t>Instrumentation</t>
        </is>
      </c>
      <c r="J6045" s="12" t="inlineStr">
        <is>
          <t>Instrumentation ITC / PLTC, IS, #18 shielded pairs, blue jacket</t>
        </is>
      </c>
      <c r="K6045" s="12" t="inlineStr">
        <is>
          <t>ITC|1 pr|16</t>
        </is>
      </c>
      <c r="L6045" s="12" t="inlineStr">
        <is>
          <t>1 pr</t>
        </is>
      </c>
      <c r="M6045" s="12" t="inlineStr">
        <is>
          <t>16</t>
        </is>
      </c>
      <c r="N6045" s="12" t="n">
        <v>12</v>
      </c>
      <c r="O6045" s="12" t="n">
        <v>1</v>
      </c>
      <c r="P6045" s="12" t="n"/>
      <c r="Q6045" s="12" t="n"/>
      <c r="R6045" s="12" t="n"/>
      <c r="S6045" s="12" t="inlineStr">
        <is>
          <t>Tray / conduit</t>
        </is>
      </c>
      <c r="T6045" s="15" t="n">
        <v>67</v>
      </c>
      <c r="U6045" s="15" t="n">
        <v>10</v>
      </c>
      <c r="V6045" s="15">
        <f>ROUNDUP((T6045+U6045+2*'Read Me'!$B$13)*(1+'Read Me'!$B$12),-1)</f>
        <v/>
      </c>
      <c r="W6045" s="15">
        <f>V6045*N6045*O6045</f>
        <v/>
      </c>
      <c r="X6045" s="12">
        <f>IF(LEFT(I6045,2)="MV",2*N6045*IF(L6045="1/C",O6045,1),0)</f>
        <v/>
      </c>
      <c r="Y6045" s="12">
        <f>IF(OR(LEFT(K6045,4)="LVAX",LEFT(K6045,6)="MV15AX",LEFT(K6045,4)="CTAX",LEFT(K6045,2)="W|"),2*N6045*O6045,0)</f>
        <v/>
      </c>
      <c r="Z6045" s="12" t="inlineStr">
        <is>
          <t>device-to-JB field wiring, one cable per device</t>
        </is>
      </c>
      <c r="AA6045" s="12">
        <f>N6045*O6045</f>
        <v/>
      </c>
    </row>
    <row r="6046">
      <c r="A6046" s="12" t="inlineStr">
        <is>
          <t>K-I-0146</t>
        </is>
      </c>
      <c r="B6046" s="12" t="inlineStr">
        <is>
          <t>K</t>
        </is>
      </c>
      <c r="C6046" s="12" t="inlineStr">
        <is>
          <t>Fuel supply (adjacent market)</t>
        </is>
      </c>
      <c r="D6046" s="12" t="inlineStr">
        <is>
          <t>Home run JB-LNG 15: boil-off g-DI01 to the control / marshalling room</t>
        </is>
      </c>
      <c r="E6046" s="12" t="inlineStr"/>
      <c r="F6046" s="12" t="inlineStr">
        <is>
          <t>LNG 17: LNG e-house (13.8 kV / 480 V)</t>
        </is>
      </c>
      <c r="G6046" s="12" t="inlineStr">
        <is>
          <t>JB-LNG 15: boil-off g-DI01</t>
        </is>
      </c>
      <c r="H6046" s="12" t="inlineStr">
        <is>
          <t>LNG 15: boil-off gas compressor</t>
        </is>
      </c>
      <c r="I6046" s="12" t="inlineStr">
        <is>
          <t>Instrumentation</t>
        </is>
      </c>
      <c r="J6046" s="12" t="inlineStr">
        <is>
          <t>Instrumentation ITC / PLTC, IS, #18 shielded pairs, blue jacket</t>
        </is>
      </c>
      <c r="K6046" s="12" t="inlineStr">
        <is>
          <t>ITC|24 pr|18</t>
        </is>
      </c>
      <c r="L6046" s="12" t="inlineStr">
        <is>
          <t>24 pr</t>
        </is>
      </c>
      <c r="M6046" s="12" t="inlineStr">
        <is>
          <t>18</t>
        </is>
      </c>
      <c r="N6046" s="12" t="n">
        <v>1</v>
      </c>
      <c r="O6046" s="12" t="n">
        <v>1</v>
      </c>
      <c r="P6046" s="12" t="n"/>
      <c r="Q6046" s="12" t="n"/>
      <c r="R6046" s="12" t="n"/>
      <c r="S6046" s="12" t="inlineStr">
        <is>
          <t>Duct bank</t>
        </is>
      </c>
      <c r="T6046" s="15" t="n">
        <v>25</v>
      </c>
      <c r="U6046" s="15" t="n">
        <v>54</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K-I-0147</t>
        </is>
      </c>
      <c r="B6047" s="12" t="inlineStr">
        <is>
          <t>K</t>
        </is>
      </c>
      <c r="C6047" s="12" t="inlineStr">
        <is>
          <t>Fuel supply (adjacent market)</t>
        </is>
      </c>
      <c r="D6047" s="12" t="inlineStr">
        <is>
          <t>Analog instrument to JB JB-LNG 16: send-out m-AI01: 12 x 1 pr (field cables)</t>
        </is>
      </c>
      <c r="E6047" s="12" t="inlineStr"/>
      <c r="F6047" s="12" t="inlineStr">
        <is>
          <t>LNG 16: send-out metering + pressure control</t>
        </is>
      </c>
      <c r="G6047" s="12" t="inlineStr">
        <is>
          <t>JB-LNG 16: send-out m-AI01</t>
        </is>
      </c>
      <c r="H6047" s="12" t="inlineStr">
        <is>
          <t>LNG 16: send-out metering + pressure control</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12</v>
      </c>
      <c r="O6047" s="12" t="n">
        <v>1</v>
      </c>
      <c r="P6047" s="12" t="n"/>
      <c r="Q6047" s="12" t="n"/>
      <c r="R6047" s="12" t="n"/>
      <c r="S6047" s="12" t="inlineStr">
        <is>
          <t>Tray / conduit</t>
        </is>
      </c>
      <c r="T6047" s="15" t="n">
        <v>74</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K-I-0148</t>
        </is>
      </c>
      <c r="B6048" s="12" t="inlineStr">
        <is>
          <t>K</t>
        </is>
      </c>
      <c r="C6048" s="12" t="inlineStr">
        <is>
          <t>Fuel supply (adjacent market)</t>
        </is>
      </c>
      <c r="D6048" s="12" t="inlineStr">
        <is>
          <t>Home run JB-LNG 16: send-out m-AI01 to the control / marshalling room</t>
        </is>
      </c>
      <c r="E6048" s="12" t="inlineStr"/>
      <c r="F6048" s="12" t="inlineStr">
        <is>
          <t>LNG 17: LNG e-house (13.8 kV / 480 V)</t>
        </is>
      </c>
      <c r="G6048" s="12" t="inlineStr">
        <is>
          <t>JB-LNG 16: send-out m-AI01</t>
        </is>
      </c>
      <c r="H6048" s="12" t="inlineStr">
        <is>
          <t>LNG 16: send-out metering + pressure control</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20</v>
      </c>
      <c r="U6048" s="15" t="n">
        <v>32</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K-I-0149</t>
        </is>
      </c>
      <c r="B6049" s="12" t="inlineStr">
        <is>
          <t>K</t>
        </is>
      </c>
      <c r="C6049" s="12" t="inlineStr">
        <is>
          <t>Fuel supply (adjacent market)</t>
        </is>
      </c>
      <c r="D6049" s="12" t="inlineStr">
        <is>
          <t>Discrete device to JB JB-LNG 16: send-out m-DI01: 12 x 1 pr (field cables)</t>
        </is>
      </c>
      <c r="E6049" s="12" t="inlineStr"/>
      <c r="F6049" s="12" t="inlineStr">
        <is>
          <t>LNG 16: send-out metering + pressure control</t>
        </is>
      </c>
      <c r="G6049" s="12" t="inlineStr">
        <is>
          <t>JB-LNG 16: send-out m-DI01</t>
        </is>
      </c>
      <c r="H6049" s="12" t="inlineStr">
        <is>
          <t>LNG 16: send-out metering + pressure control</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12</v>
      </c>
      <c r="O6049" s="12" t="n">
        <v>1</v>
      </c>
      <c r="P6049" s="12" t="n"/>
      <c r="Q6049" s="12" t="n"/>
      <c r="R6049" s="12" t="n"/>
      <c r="S6049" s="12" t="inlineStr">
        <is>
          <t>Tray / conduit</t>
        </is>
      </c>
      <c r="T6049" s="15" t="n">
        <v>74</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K-I-0150</t>
        </is>
      </c>
      <c r="B6050" s="12" t="inlineStr">
        <is>
          <t>K</t>
        </is>
      </c>
      <c r="C6050" s="12" t="inlineStr">
        <is>
          <t>Fuel supply (adjacent market)</t>
        </is>
      </c>
      <c r="D6050" s="12" t="inlineStr">
        <is>
          <t>Home run JB-LNG 16: send-out m-DI01 to the control / marshalling room</t>
        </is>
      </c>
      <c r="E6050" s="12" t="inlineStr"/>
      <c r="F6050" s="12" t="inlineStr">
        <is>
          <t>LNG 17: LNG e-house (13.8 kV / 480 V)</t>
        </is>
      </c>
      <c r="G6050" s="12" t="inlineStr">
        <is>
          <t>JB-LNG 16: send-out m-DI01</t>
        </is>
      </c>
      <c r="H6050" s="12" t="inlineStr">
        <is>
          <t>LNG 16: send-out metering + pressure control</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20</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K-I-0151</t>
        </is>
      </c>
      <c r="B6051" s="12" t="inlineStr">
        <is>
          <t>K</t>
        </is>
      </c>
      <c r="C6051" s="12" t="inlineStr">
        <is>
          <t>Fuel supply (adjacent market)</t>
        </is>
      </c>
      <c r="D6051" s="12" t="inlineStr">
        <is>
          <t>Analog instrument to JB JB-LNG 17: LNG e-hous-AI01: 12 x 1 pr (field cables)</t>
        </is>
      </c>
      <c r="E6051" s="12" t="inlineStr"/>
      <c r="F6051" s="12" t="inlineStr">
        <is>
          <t>LNG 17: LNG e-house (13.8 kV / 480 V)</t>
        </is>
      </c>
      <c r="G6051" s="12" t="inlineStr">
        <is>
          <t>JB-LNG 17: LNG e-hous-AI01</t>
        </is>
      </c>
      <c r="H6051" s="12" t="inlineStr">
        <is>
          <t>LNG 17: LNG e-house (13.8 kV / 480 V)</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58</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K-I-0152</t>
        </is>
      </c>
      <c r="B6052" s="12" t="inlineStr">
        <is>
          <t>K</t>
        </is>
      </c>
      <c r="C6052" s="12" t="inlineStr">
        <is>
          <t>Fuel supply (adjacent market)</t>
        </is>
      </c>
      <c r="D6052" s="12" t="inlineStr">
        <is>
          <t>Home run JB-LNG 17: LNG e-hous-AI01 to the control / marshalling room</t>
        </is>
      </c>
      <c r="E6052" s="12" t="inlineStr"/>
      <c r="F6052" s="12" t="inlineStr">
        <is>
          <t>LNG 17: LNG e-house (13.8 kV / 480 V)</t>
        </is>
      </c>
      <c r="G6052" s="12" t="inlineStr">
        <is>
          <t>JB-LNG 17: LNG e-hous-AI01</t>
        </is>
      </c>
      <c r="H6052" s="12" t="inlineStr">
        <is>
          <t>LNG 17: LNG e-house (13.8 kV / 480 V)</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Tray</t>
        </is>
      </c>
      <c r="T6052" s="15" t="n">
        <v>0</v>
      </c>
      <c r="U6052" s="15" t="n">
        <v>32</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K-I-0153</t>
        </is>
      </c>
      <c r="B6053" s="12" t="inlineStr">
        <is>
          <t>K</t>
        </is>
      </c>
      <c r="C6053" s="12" t="inlineStr">
        <is>
          <t>Fuel supply (adjacent market)</t>
        </is>
      </c>
      <c r="D6053" s="12" t="inlineStr">
        <is>
          <t>Discrete device to JB JB-LNG 17: LNG e-hous-DI01: 12 x 1 pr (field cables)</t>
        </is>
      </c>
      <c r="E6053" s="12" t="inlineStr"/>
      <c r="F6053" s="12" t="inlineStr">
        <is>
          <t>LNG 17: LNG e-house (13.8 kV / 480 V)</t>
        </is>
      </c>
      <c r="G6053" s="12" t="inlineStr">
        <is>
          <t>JB-LNG 17: LNG e-hous-DI01</t>
        </is>
      </c>
      <c r="H6053" s="12" t="inlineStr">
        <is>
          <t>LNG 17: LNG e-house (13.8 kV / 480 V)</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58</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K-I-0154</t>
        </is>
      </c>
      <c r="B6054" s="12" t="inlineStr">
        <is>
          <t>K</t>
        </is>
      </c>
      <c r="C6054" s="12" t="inlineStr">
        <is>
          <t>Fuel supply (adjacent market)</t>
        </is>
      </c>
      <c r="D6054" s="12" t="inlineStr">
        <is>
          <t>Home run JB-LNG 17: LNG e-hous-DI01 to the control / marshalling room</t>
        </is>
      </c>
      <c r="E6054" s="12" t="inlineStr"/>
      <c r="F6054" s="12" t="inlineStr">
        <is>
          <t>LNG 17: LNG e-house (13.8 kV / 480 V)</t>
        </is>
      </c>
      <c r="G6054" s="12" t="inlineStr">
        <is>
          <t>JB-LNG 17: LNG e-hous-DI01</t>
        </is>
      </c>
      <c r="H6054" s="12" t="inlineStr">
        <is>
          <t>LNG 17: LNG e-house (13.8 kV / 480 V)</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Tray</t>
        </is>
      </c>
      <c r="T6054" s="15" t="n">
        <v>0</v>
      </c>
      <c r="U6054" s="15" t="n">
        <v>32</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K-I-0155</t>
        </is>
      </c>
      <c r="B6055" s="12" t="inlineStr">
        <is>
          <t>K</t>
        </is>
      </c>
      <c r="C6055" s="12" t="inlineStr">
        <is>
          <t>Fuel supply (adjacent market)</t>
        </is>
      </c>
      <c r="D6055" s="12" t="inlineStr">
        <is>
          <t>Analog instrument to JB JB-LNG 18: vent stack-AI01: 12 x 1 pr (field cables)</t>
        </is>
      </c>
      <c r="E6055" s="12" t="inlineStr"/>
      <c r="F6055" s="12" t="inlineStr">
        <is>
          <t>LNG 18: vent stack</t>
        </is>
      </c>
      <c r="G6055" s="12" t="inlineStr">
        <is>
          <t>JB-LNG 18: vent stack-AI01</t>
        </is>
      </c>
      <c r="H6055" s="12" t="inlineStr">
        <is>
          <t>LNG 18: vent stack</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12</v>
      </c>
      <c r="O6055" s="12" t="n">
        <v>1</v>
      </c>
      <c r="P6055" s="12" t="n"/>
      <c r="Q6055" s="12" t="n"/>
      <c r="R6055" s="12" t="n"/>
      <c r="S6055" s="12" t="inlineStr">
        <is>
          <t>Tray / conduit</t>
        </is>
      </c>
      <c r="T6055" s="15" t="n">
        <v>55</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K-I-0156</t>
        </is>
      </c>
      <c r="B6056" s="12" t="inlineStr">
        <is>
          <t>K</t>
        </is>
      </c>
      <c r="C6056" s="12" t="inlineStr">
        <is>
          <t>Fuel supply (adjacent market)</t>
        </is>
      </c>
      <c r="D6056" s="12" t="inlineStr">
        <is>
          <t>Home run JB-LNG 18: vent stack-AI01 to the control / marshalling room</t>
        </is>
      </c>
      <c r="E6056" s="12" t="inlineStr"/>
      <c r="F6056" s="12" t="inlineStr">
        <is>
          <t>LNG 17: LNG e-house (13.8 kV / 480 V)</t>
        </is>
      </c>
      <c r="G6056" s="12" t="inlineStr">
        <is>
          <t>JB-LNG 18: vent stack-AI01</t>
        </is>
      </c>
      <c r="H6056" s="12" t="inlineStr">
        <is>
          <t>LNG 18: vent stack</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25</v>
      </c>
      <c r="U6056" s="15" t="n">
        <v>117</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K-I-0157</t>
        </is>
      </c>
      <c r="B6057" s="12" t="inlineStr">
        <is>
          <t>K</t>
        </is>
      </c>
      <c r="C6057" s="12" t="inlineStr">
        <is>
          <t>Fuel supply (adjacent market)</t>
        </is>
      </c>
      <c r="D6057" s="12" t="inlineStr">
        <is>
          <t>Discrete device to JB JB-LNG 18: vent stack-DI01: 12 x 1 pr (field cables)</t>
        </is>
      </c>
      <c r="E6057" s="12" t="inlineStr"/>
      <c r="F6057" s="12" t="inlineStr">
        <is>
          <t>LNG 18: vent stack</t>
        </is>
      </c>
      <c r="G6057" s="12" t="inlineStr">
        <is>
          <t>JB-LNG 18: vent stack-DI01</t>
        </is>
      </c>
      <c r="H6057" s="12" t="inlineStr">
        <is>
          <t>LNG 18: vent stack</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12</v>
      </c>
      <c r="O6057" s="12" t="n">
        <v>1</v>
      </c>
      <c r="P6057" s="12" t="n"/>
      <c r="Q6057" s="12" t="n"/>
      <c r="R6057" s="12" t="n"/>
      <c r="S6057" s="12" t="inlineStr">
        <is>
          <t>Tray / conduit</t>
        </is>
      </c>
      <c r="T6057" s="15" t="n">
        <v>55</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K-I-0158</t>
        </is>
      </c>
      <c r="B6058" s="12" t="inlineStr">
        <is>
          <t>K</t>
        </is>
      </c>
      <c r="C6058" s="12" t="inlineStr">
        <is>
          <t>Fuel supply (adjacent market)</t>
        </is>
      </c>
      <c r="D6058" s="12" t="inlineStr">
        <is>
          <t>Home run JB-LNG 18: vent stack-DI01 to the control / marshalling room</t>
        </is>
      </c>
      <c r="E6058" s="12" t="inlineStr"/>
      <c r="F6058" s="12" t="inlineStr">
        <is>
          <t>LNG 17: LNG e-house (13.8 kV / 480 V)</t>
        </is>
      </c>
      <c r="G6058" s="12" t="inlineStr">
        <is>
          <t>JB-LNG 18: vent stack-DI01</t>
        </is>
      </c>
      <c r="H6058" s="12" t="inlineStr">
        <is>
          <t>LNG 18: vent stack</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25</v>
      </c>
      <c r="U6058" s="15" t="n">
        <v>117</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K-I-0159</t>
        </is>
      </c>
      <c r="B6059" s="12" t="inlineStr">
        <is>
          <t>K</t>
        </is>
      </c>
      <c r="C6059" s="12" t="inlineStr">
        <is>
          <t>Fuel supply (adjacent market)</t>
        </is>
      </c>
      <c r="D6059" s="12" t="inlineStr">
        <is>
          <t>Instrumentation</t>
        </is>
      </c>
      <c r="E6059" s="12" t="inlineStr"/>
      <c r="F6059" s="12" t="inlineStr">
        <is>
          <t>LNG 17: LNG e-house (13.8 kV / 480 V)</t>
        </is>
      </c>
      <c r="G6059" s="12" t="inlineStr"/>
      <c r="H6059" s="12" t="inlineStr">
        <is>
          <t>LNG impoundment sump pump</t>
        </is>
      </c>
      <c r="I6059" s="12" t="inlineStr">
        <is>
          <t>Instrumentation</t>
        </is>
      </c>
      <c r="J6059" s="12" t="inlineStr">
        <is>
          <t>Instrumentation ITC / PLTC, IS, #18 shielded pairs, blue jacket</t>
        </is>
      </c>
      <c r="K6059" s="12" t="inlineStr">
        <is>
          <t>ITC|4 pr|18</t>
        </is>
      </c>
      <c r="L6059" s="12" t="inlineStr">
        <is>
          <t>4 pr</t>
        </is>
      </c>
      <c r="M6059" s="12" t="inlineStr">
        <is>
          <t>18</t>
        </is>
      </c>
      <c r="N6059" s="12" t="n">
        <v>1</v>
      </c>
      <c r="O6059" s="12" t="n">
        <v>1</v>
      </c>
      <c r="P6059" s="12" t="n"/>
      <c r="Q6059" s="12" t="n"/>
      <c r="R6059" s="12" t="n"/>
      <c r="S6059" s="12" t="inlineStr">
        <is>
          <t>Duct bank</t>
        </is>
      </c>
      <c r="T6059" s="15" t="n">
        <v>334</v>
      </c>
      <c r="U6059" s="15" t="n">
        <v>32</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K-I-0160</t>
        </is>
      </c>
      <c r="B6060" s="12" t="inlineStr">
        <is>
          <t>K</t>
        </is>
      </c>
      <c r="C6060" s="12" t="inlineStr">
        <is>
          <t>Fuel supply (adjacent market)</t>
        </is>
      </c>
      <c r="D6060" s="12" t="inlineStr">
        <is>
          <t>Instrumentation</t>
        </is>
      </c>
      <c r="E6060" s="12" t="inlineStr"/>
      <c r="F6060" s="12" t="inlineStr">
        <is>
          <t>LNG 17: LNG e-house (13.8 kV / 480 V)</t>
        </is>
      </c>
      <c r="G6060" s="12" t="inlineStr"/>
      <c r="H6060" s="12" t="inlineStr">
        <is>
          <t>M&amp;R 1: pig receiver, lateral terminus</t>
        </is>
      </c>
      <c r="I6060" s="12" t="inlineStr">
        <is>
          <t>Instrumentation</t>
        </is>
      </c>
      <c r="J6060" s="12" t="inlineStr">
        <is>
          <t>Instrumentation ITC / PLTC, IS, #18 shielded pairs, blue jacket</t>
        </is>
      </c>
      <c r="K6060" s="12" t="inlineStr">
        <is>
          <t>ITC|4 pr|18</t>
        </is>
      </c>
      <c r="L6060" s="12" t="inlineStr">
        <is>
          <t>4 pr</t>
        </is>
      </c>
      <c r="M6060" s="12" t="inlineStr">
        <is>
          <t>18</t>
        </is>
      </c>
      <c r="N6060" s="12" t="n">
        <v>1</v>
      </c>
      <c r="O6060" s="12" t="n">
        <v>1</v>
      </c>
      <c r="P6060" s="12" t="n"/>
      <c r="Q6060" s="12" t="n"/>
      <c r="R6060" s="12" t="n"/>
      <c r="S6060" s="12" t="inlineStr">
        <is>
          <t>Duct bank</t>
        </is>
      </c>
      <c r="T6060" s="15" t="n">
        <v>773</v>
      </c>
      <c r="U6060" s="15" t="n">
        <v>37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K-I-0161</t>
        </is>
      </c>
      <c r="B6061" s="12" t="inlineStr">
        <is>
          <t>K</t>
        </is>
      </c>
      <c r="C6061" s="12" t="inlineStr">
        <is>
          <t>Fuel supply (adjacent market)</t>
        </is>
      </c>
      <c r="D6061" s="12" t="inlineStr">
        <is>
          <t>Discrete device to JB JB-M&amp;R 2: insulating -DI01: 8 x 1 pr (field cables)</t>
        </is>
      </c>
      <c r="E6061" s="12" t="inlineStr"/>
      <c r="F6061" s="12" t="inlineStr">
        <is>
          <t>M&amp;R 2: insulating joint + ESD valve</t>
        </is>
      </c>
      <c r="G6061" s="12" t="inlineStr">
        <is>
          <t>JB-M&amp;R 2: insulating -DI01</t>
        </is>
      </c>
      <c r="H6061" s="12" t="inlineStr">
        <is>
          <t>M&amp;R 2: insulating joint + ESD valve</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8</v>
      </c>
      <c r="O6061" s="12" t="n">
        <v>1</v>
      </c>
      <c r="P6061" s="12" t="n"/>
      <c r="Q6061" s="12" t="n"/>
      <c r="R6061" s="12" t="n"/>
      <c r="S6061" s="12" t="inlineStr">
        <is>
          <t>Tray / conduit</t>
        </is>
      </c>
      <c r="T6061" s="15" t="n">
        <v>40</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K-I-0162</t>
        </is>
      </c>
      <c r="B6062" s="12" t="inlineStr">
        <is>
          <t>K</t>
        </is>
      </c>
      <c r="C6062" s="12" t="inlineStr">
        <is>
          <t>Fuel supply (adjacent market)</t>
        </is>
      </c>
      <c r="D6062" s="12" t="inlineStr">
        <is>
          <t>Home run JB-M&amp;R 2: insulating -DI01 to the control / marshalling room</t>
        </is>
      </c>
      <c r="E6062" s="12" t="inlineStr"/>
      <c r="F6062" s="12" t="inlineStr">
        <is>
          <t>LNG 17: LNG e-house (13.8 kV / 480 V)</t>
        </is>
      </c>
      <c r="G6062" s="12" t="inlineStr">
        <is>
          <t>JB-M&amp;R 2: insulating -DI01</t>
        </is>
      </c>
      <c r="H6062" s="12" t="inlineStr">
        <is>
          <t>M&amp;R 2: insulating joint + ESD valve</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758</v>
      </c>
      <c r="U6062" s="15" t="n">
        <v>32</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K-I-0163</t>
        </is>
      </c>
      <c r="B6063" s="12" t="inlineStr">
        <is>
          <t>K</t>
        </is>
      </c>
      <c r="C6063" s="12" t="inlineStr">
        <is>
          <t>Fuel supply (adjacent market)</t>
        </is>
      </c>
      <c r="D6063" s="12" t="inlineStr">
        <is>
          <t>Analog instrument to JB JB-M&amp;R 3: horizontal -AI01: 8 x 1 pr (field cables)</t>
        </is>
      </c>
      <c r="E6063" s="12" t="inlineStr"/>
      <c r="F6063" s="12" t="inlineStr">
        <is>
          <t>M&amp;R 3: horizontal filter-separator</t>
        </is>
      </c>
      <c r="G6063" s="12" t="inlineStr">
        <is>
          <t>JB-M&amp;R 3: horizontal -AI01</t>
        </is>
      </c>
      <c r="H6063" s="12" t="inlineStr">
        <is>
          <t>M&amp;R 3: horizontal filter-separator</t>
        </is>
      </c>
      <c r="I6063" s="12" t="inlineStr">
        <is>
          <t>Instrumentation</t>
        </is>
      </c>
      <c r="J6063" s="12" t="inlineStr">
        <is>
          <t>Instrumentation ITC / PLTC, IS, #18 shielded pairs, blue jacket</t>
        </is>
      </c>
      <c r="K6063" s="12" t="inlineStr">
        <is>
          <t>ITC|1 pr|16</t>
        </is>
      </c>
      <c r="L6063" s="12" t="inlineStr">
        <is>
          <t>1 pr</t>
        </is>
      </c>
      <c r="M6063" s="12" t="inlineStr">
        <is>
          <t>16</t>
        </is>
      </c>
      <c r="N6063" s="12" t="n">
        <v>8</v>
      </c>
      <c r="O6063" s="12" t="n">
        <v>1</v>
      </c>
      <c r="P6063" s="12" t="n"/>
      <c r="Q6063" s="12" t="n"/>
      <c r="R6063" s="12" t="n"/>
      <c r="S6063" s="12" t="inlineStr">
        <is>
          <t>Tray / conduit</t>
        </is>
      </c>
      <c r="T6063" s="15" t="n">
        <v>53</v>
      </c>
      <c r="U6063" s="15" t="n">
        <v>10</v>
      </c>
      <c r="V6063" s="15">
        <f>ROUNDUP((T6063+U6063+2*'Read Me'!$B$13)*(1+'Read Me'!$B$12),-1)</f>
        <v/>
      </c>
      <c r="W6063" s="15">
        <f>V6063*N6063*O6063</f>
        <v/>
      </c>
      <c r="X6063" s="12">
        <f>IF(LEFT(I6063,2)="MV",2*N6063*IF(L6063="1/C",O6063,1),0)</f>
        <v/>
      </c>
      <c r="Y6063" s="12">
        <f>IF(OR(LEFT(K6063,4)="LVAX",LEFT(K6063,6)="MV15AX",LEFT(K6063,4)="CTAX",LEFT(K6063,2)="W|"),2*N6063*O6063,0)</f>
        <v/>
      </c>
      <c r="Z6063" s="12" t="inlineStr">
        <is>
          <t>device-to-JB field wiring, one cable per device</t>
        </is>
      </c>
      <c r="AA6063" s="12">
        <f>N6063*O6063</f>
        <v/>
      </c>
    </row>
    <row r="6064">
      <c r="A6064" s="12" t="inlineStr">
        <is>
          <t>K-I-0164</t>
        </is>
      </c>
      <c r="B6064" s="12" t="inlineStr">
        <is>
          <t>K</t>
        </is>
      </c>
      <c r="C6064" s="12" t="inlineStr">
        <is>
          <t>Fuel supply (adjacent market)</t>
        </is>
      </c>
      <c r="D6064" s="12" t="inlineStr">
        <is>
          <t>Home run JB-M&amp;R 3: horizontal -AI01 to the control / marshalling room</t>
        </is>
      </c>
      <c r="E6064" s="12" t="inlineStr"/>
      <c r="F6064" s="12" t="inlineStr">
        <is>
          <t>LNG 17: LNG e-house (13.8 kV / 480 V)</t>
        </is>
      </c>
      <c r="G6064" s="12" t="inlineStr">
        <is>
          <t>JB-M&amp;R 3: horizontal -AI01</t>
        </is>
      </c>
      <c r="H6064" s="12" t="inlineStr">
        <is>
          <t>M&amp;R 3: horizontal filter-separator</t>
        </is>
      </c>
      <c r="I6064" s="12" t="inlineStr">
        <is>
          <t>Instrumentation</t>
        </is>
      </c>
      <c r="J6064" s="12" t="inlineStr">
        <is>
          <t>Instrumentation ITC / PLTC, IS, #18 shielded pairs, blue jacket</t>
        </is>
      </c>
      <c r="K6064" s="12" t="inlineStr">
        <is>
          <t>ITC|24 pr|18</t>
        </is>
      </c>
      <c r="L6064" s="12" t="inlineStr">
        <is>
          <t>24 pr</t>
        </is>
      </c>
      <c r="M6064" s="12" t="inlineStr">
        <is>
          <t>18</t>
        </is>
      </c>
      <c r="N6064" s="12" t="n">
        <v>1</v>
      </c>
      <c r="O6064" s="12" t="n">
        <v>1</v>
      </c>
      <c r="P6064" s="12" t="n"/>
      <c r="Q6064" s="12" t="n"/>
      <c r="R6064" s="12" t="n"/>
      <c r="S6064" s="12" t="inlineStr">
        <is>
          <t>Duct bank</t>
        </is>
      </c>
      <c r="T6064" s="15" t="n">
        <v>797</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K-I-0165</t>
        </is>
      </c>
      <c r="B6065" s="12" t="inlineStr">
        <is>
          <t>K</t>
        </is>
      </c>
      <c r="C6065" s="12" t="inlineStr">
        <is>
          <t>Fuel supply (adjacent market)</t>
        </is>
      </c>
      <c r="D6065" s="12" t="inlineStr">
        <is>
          <t>Discrete device to JB JB-M&amp;R 3: horizontal -DI01: 12 x 1 pr (field cables)</t>
        </is>
      </c>
      <c r="E6065" s="12" t="inlineStr"/>
      <c r="F6065" s="12" t="inlineStr">
        <is>
          <t>M&amp;R 3: horizontal filter-separator</t>
        </is>
      </c>
      <c r="G6065" s="12" t="inlineStr">
        <is>
          <t>JB-M&amp;R 3: horizontal -DI01</t>
        </is>
      </c>
      <c r="H6065" s="12" t="inlineStr">
        <is>
          <t>M&amp;R 3: horizontal filter-separator</t>
        </is>
      </c>
      <c r="I6065" s="12" t="inlineStr">
        <is>
          <t>Instrumentation</t>
        </is>
      </c>
      <c r="J6065" s="12" t="inlineStr">
        <is>
          <t>Instrumentation ITC / PLTC, IS, #18 shielded pairs, blue jacket</t>
        </is>
      </c>
      <c r="K6065" s="12" t="inlineStr">
        <is>
          <t>ITC|1 pr|16</t>
        </is>
      </c>
      <c r="L6065" s="12" t="inlineStr">
        <is>
          <t>1 pr</t>
        </is>
      </c>
      <c r="M6065" s="12" t="inlineStr">
        <is>
          <t>16</t>
        </is>
      </c>
      <c r="N6065" s="12" t="n">
        <v>12</v>
      </c>
      <c r="O6065" s="12" t="n">
        <v>1</v>
      </c>
      <c r="P6065" s="12" t="n"/>
      <c r="Q6065" s="12" t="n"/>
      <c r="R6065" s="12" t="n"/>
      <c r="S6065" s="12" t="inlineStr">
        <is>
          <t>Tray / conduit</t>
        </is>
      </c>
      <c r="T6065" s="15" t="n">
        <v>53</v>
      </c>
      <c r="U6065" s="15" t="n">
        <v>10</v>
      </c>
      <c r="V6065" s="15">
        <f>ROUNDUP((T6065+U6065+2*'Read Me'!$B$13)*(1+'Read Me'!$B$12),-1)</f>
        <v/>
      </c>
      <c r="W6065" s="15">
        <f>V6065*N6065*O6065</f>
        <v/>
      </c>
      <c r="X6065" s="12">
        <f>IF(LEFT(I6065,2)="MV",2*N6065*IF(L6065="1/C",O6065,1),0)</f>
        <v/>
      </c>
      <c r="Y6065" s="12">
        <f>IF(OR(LEFT(K6065,4)="LVAX",LEFT(K6065,6)="MV15AX",LEFT(K6065,4)="CTAX",LEFT(K6065,2)="W|"),2*N6065*O6065,0)</f>
        <v/>
      </c>
      <c r="Z6065" s="12" t="inlineStr">
        <is>
          <t>device-to-JB field wiring, one cable per device</t>
        </is>
      </c>
      <c r="AA6065" s="12">
        <f>N6065*O6065</f>
        <v/>
      </c>
    </row>
    <row r="6066">
      <c r="A6066" s="12" t="inlineStr">
        <is>
          <t>K-I-0166</t>
        </is>
      </c>
      <c r="B6066" s="12" t="inlineStr">
        <is>
          <t>K</t>
        </is>
      </c>
      <c r="C6066" s="12" t="inlineStr">
        <is>
          <t>Fuel supply (adjacent market)</t>
        </is>
      </c>
      <c r="D6066" s="12" t="inlineStr">
        <is>
          <t>Home run JB-M&amp;R 3: horizontal -DI01 to the control / marshalling room</t>
        </is>
      </c>
      <c r="E6066" s="12" t="inlineStr"/>
      <c r="F6066" s="12" t="inlineStr">
        <is>
          <t>LNG 17: LNG e-house (13.8 kV / 480 V)</t>
        </is>
      </c>
      <c r="G6066" s="12" t="inlineStr">
        <is>
          <t>JB-M&amp;R 3: horizontal -DI01</t>
        </is>
      </c>
      <c r="H6066" s="12" t="inlineStr">
        <is>
          <t>M&amp;R 3: horizontal filter-separator</t>
        </is>
      </c>
      <c r="I6066" s="12" t="inlineStr">
        <is>
          <t>Instrumentation</t>
        </is>
      </c>
      <c r="J6066" s="12" t="inlineStr">
        <is>
          <t>Instrumentation ITC / PLTC, IS, #18 shielded pairs, blue jacket</t>
        </is>
      </c>
      <c r="K6066" s="12" t="inlineStr">
        <is>
          <t>ITC|24 pr|18</t>
        </is>
      </c>
      <c r="L6066" s="12" t="inlineStr">
        <is>
          <t>24 pr</t>
        </is>
      </c>
      <c r="M6066" s="12" t="inlineStr">
        <is>
          <t>18</t>
        </is>
      </c>
      <c r="N6066" s="12" t="n">
        <v>1</v>
      </c>
      <c r="O6066" s="12" t="n">
        <v>1</v>
      </c>
      <c r="P6066" s="12" t="n"/>
      <c r="Q6066" s="12" t="n"/>
      <c r="R6066" s="12" t="n"/>
      <c r="S6066" s="12" t="inlineStr">
        <is>
          <t>Duct bank</t>
        </is>
      </c>
      <c r="T6066" s="15" t="n">
        <v>797</v>
      </c>
      <c r="U6066" s="15" t="n">
        <v>32</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K-I-0167</t>
        </is>
      </c>
      <c r="B6067" s="12" t="inlineStr">
        <is>
          <t>K</t>
        </is>
      </c>
      <c r="C6067" s="12" t="inlineStr">
        <is>
          <t>Fuel supply (adjacent market)</t>
        </is>
      </c>
      <c r="D6067" s="12" t="inlineStr">
        <is>
          <t>Instrumentation</t>
        </is>
      </c>
      <c r="E6067" s="12" t="inlineStr"/>
      <c r="F6067" s="12" t="inlineStr">
        <is>
          <t>LNG 17: LNG e-house (13.8 kV / 480 V)</t>
        </is>
      </c>
      <c r="G6067" s="12" t="inlineStr"/>
      <c r="H6067" s="12" t="inlineStr">
        <is>
          <t>M&amp;R 4: line heater 1 (water bath)</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593</v>
      </c>
      <c r="U6067" s="15" t="n">
        <v>32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K-I-0168</t>
        </is>
      </c>
      <c r="B6068" s="12" t="inlineStr">
        <is>
          <t>K</t>
        </is>
      </c>
      <c r="C6068" s="12" t="inlineStr">
        <is>
          <t>Fuel supply (adjacent market)</t>
        </is>
      </c>
      <c r="D6068" s="12" t="inlineStr">
        <is>
          <t>Instrumentation</t>
        </is>
      </c>
      <c r="E6068" s="12" t="inlineStr"/>
      <c r="F6068" s="12" t="inlineStr">
        <is>
          <t>LNG 17: LNG e-house (13.8 kV / 480 V)</t>
        </is>
      </c>
      <c r="G6068" s="12" t="inlineStr"/>
      <c r="H6068" s="12" t="inlineStr">
        <is>
          <t>M&amp;R 4: line heater 1 (water bath)</t>
        </is>
      </c>
      <c r="I6068" s="12" t="inlineStr">
        <is>
          <t>Instrumentation</t>
        </is>
      </c>
      <c r="J6068" s="12" t="inlineStr">
        <is>
          <t>Instrumentation ITC / PLTC, IS, #18 shielded pairs, blue jacket</t>
        </is>
      </c>
      <c r="K6068" s="12" t="inlineStr">
        <is>
          <t>ITC|12 pr|18</t>
        </is>
      </c>
      <c r="L6068" s="12" t="inlineStr">
        <is>
          <t>12 pr</t>
        </is>
      </c>
      <c r="M6068" s="12" t="inlineStr">
        <is>
          <t>18</t>
        </is>
      </c>
      <c r="N6068" s="12" t="n">
        <v>1</v>
      </c>
      <c r="O6068" s="12" t="n">
        <v>1</v>
      </c>
      <c r="P6068" s="12" t="n"/>
      <c r="Q6068" s="12" t="n"/>
      <c r="R6068" s="12" t="n"/>
      <c r="S6068" s="12" t="inlineStr">
        <is>
          <t>Duct bank</t>
        </is>
      </c>
      <c r="T6068" s="15" t="n">
        <v>593</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K-I-0169</t>
        </is>
      </c>
      <c r="B6069" s="12" t="inlineStr">
        <is>
          <t>K</t>
        </is>
      </c>
      <c r="C6069" s="12" t="inlineStr">
        <is>
          <t>Fuel supply (adjacent market)</t>
        </is>
      </c>
      <c r="D6069" s="12" t="inlineStr">
        <is>
          <t>Instrumentation</t>
        </is>
      </c>
      <c r="E6069" s="12" t="inlineStr"/>
      <c r="F6069" s="12" t="inlineStr">
        <is>
          <t>LNG 17: LNG e-house (13.8 kV / 480 V)</t>
        </is>
      </c>
      <c r="G6069" s="12" t="inlineStr"/>
      <c r="H6069" s="12" t="inlineStr">
        <is>
          <t>M&amp;R 4: line heater 2 (water bath)</t>
        </is>
      </c>
      <c r="I6069" s="12" t="inlineStr">
        <is>
          <t>Instrumentation</t>
        </is>
      </c>
      <c r="J6069" s="12" t="inlineStr">
        <is>
          <t>Instrumentation ITC / PLTC, IS, #18 shielded pairs, blue jacket</t>
        </is>
      </c>
      <c r="K6069" s="12" t="inlineStr">
        <is>
          <t>ITC|4 pr|18</t>
        </is>
      </c>
      <c r="L6069" s="12" t="inlineStr">
        <is>
          <t>4 pr</t>
        </is>
      </c>
      <c r="M6069" s="12" t="inlineStr">
        <is>
          <t>18</t>
        </is>
      </c>
      <c r="N6069" s="12" t="n">
        <v>1</v>
      </c>
      <c r="O6069" s="12" t="n">
        <v>1</v>
      </c>
      <c r="P6069" s="12" t="n"/>
      <c r="Q6069" s="12" t="n"/>
      <c r="R6069" s="12" t="n"/>
      <c r="S6069" s="12" t="inlineStr">
        <is>
          <t>Duct bank</t>
        </is>
      </c>
      <c r="T6069" s="15" t="n">
        <v>593</v>
      </c>
      <c r="U6069" s="15" t="n">
        <v>50</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K-I-0170</t>
        </is>
      </c>
      <c r="B6070" s="12" t="inlineStr">
        <is>
          <t>K</t>
        </is>
      </c>
      <c r="C6070" s="12" t="inlineStr">
        <is>
          <t>Fuel supply (adjacent market)</t>
        </is>
      </c>
      <c r="D6070" s="12" t="inlineStr">
        <is>
          <t>Instrumentation</t>
        </is>
      </c>
      <c r="E6070" s="12" t="inlineStr"/>
      <c r="F6070" s="12" t="inlineStr">
        <is>
          <t>LNG 17: LNG e-house (13.8 kV / 480 V)</t>
        </is>
      </c>
      <c r="G6070" s="12" t="inlineStr"/>
      <c r="H6070" s="12" t="inlineStr">
        <is>
          <t>M&amp;R 4: line heater 2 (water bath)</t>
        </is>
      </c>
      <c r="I6070" s="12" t="inlineStr">
        <is>
          <t>Instrumentation</t>
        </is>
      </c>
      <c r="J6070" s="12" t="inlineStr">
        <is>
          <t>Instrumentation ITC / PLTC, IS, #18 shielded pairs, blue jacket</t>
        </is>
      </c>
      <c r="K6070" s="12" t="inlineStr">
        <is>
          <t>ITC|12 pr|18</t>
        </is>
      </c>
      <c r="L6070" s="12" t="inlineStr">
        <is>
          <t>12 pr</t>
        </is>
      </c>
      <c r="M6070" s="12" t="inlineStr">
        <is>
          <t>18</t>
        </is>
      </c>
      <c r="N6070" s="12" t="n">
        <v>1</v>
      </c>
      <c r="O6070" s="12" t="n">
        <v>1</v>
      </c>
      <c r="P6070" s="12" t="n"/>
      <c r="Q6070" s="12" t="n"/>
      <c r="R6070" s="12" t="n"/>
      <c r="S6070" s="12" t="inlineStr">
        <is>
          <t>Duct bank</t>
        </is>
      </c>
      <c r="T6070" s="15" t="n">
        <v>593</v>
      </c>
      <c r="U6070" s="15" t="n">
        <v>50</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K-I-0171</t>
        </is>
      </c>
      <c r="B6071" s="12" t="inlineStr">
        <is>
          <t>K</t>
        </is>
      </c>
      <c r="C6071" s="12" t="inlineStr">
        <is>
          <t>Fuel supply (adjacent market)</t>
        </is>
      </c>
      <c r="D6071" s="12" t="inlineStr">
        <is>
          <t>Instrumentation</t>
        </is>
      </c>
      <c r="E6071" s="12" t="inlineStr"/>
      <c r="F6071" s="12" t="inlineStr">
        <is>
          <t>LNG 17: LNG e-house (13.8 kV / 480 V)</t>
        </is>
      </c>
      <c r="G6071" s="12" t="inlineStr"/>
      <c r="H6071" s="12" t="inlineStr">
        <is>
          <t>M&amp;R 4: line heater 3 (water bath)</t>
        </is>
      </c>
      <c r="I6071" s="12" t="inlineStr">
        <is>
          <t>Instrumentation</t>
        </is>
      </c>
      <c r="J6071" s="12" t="inlineStr">
        <is>
          <t>Instrumentation ITC / PLTC, IS, #18 shielded pairs, blue jacket</t>
        </is>
      </c>
      <c r="K6071" s="12" t="inlineStr">
        <is>
          <t>ITC|4 pr|18</t>
        </is>
      </c>
      <c r="L6071" s="12" t="inlineStr">
        <is>
          <t>4 pr</t>
        </is>
      </c>
      <c r="M6071" s="12" t="inlineStr">
        <is>
          <t>18</t>
        </is>
      </c>
      <c r="N6071" s="12" t="n">
        <v>1</v>
      </c>
      <c r="O6071" s="12" t="n">
        <v>1</v>
      </c>
      <c r="P6071" s="12" t="n"/>
      <c r="Q6071" s="12" t="n"/>
      <c r="R6071" s="12" t="n"/>
      <c r="S6071" s="12" t="inlineStr">
        <is>
          <t>Duct bank</t>
        </is>
      </c>
      <c r="T6071" s="15" t="n">
        <v>593</v>
      </c>
      <c r="U6071" s="15" t="n">
        <v>68</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K-I-0172</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4: line heater 3 (water bath)</t>
        </is>
      </c>
      <c r="I6072" s="12" t="inlineStr">
        <is>
          <t>Instrumentation</t>
        </is>
      </c>
      <c r="J6072" s="12" t="inlineStr">
        <is>
          <t>Instrumentation ITC / PLTC, IS, #18 shielded pairs, blue jacket</t>
        </is>
      </c>
      <c r="K6072" s="12" t="inlineStr">
        <is>
          <t>ITC|12 pr|18</t>
        </is>
      </c>
      <c r="L6072" s="12" t="inlineStr">
        <is>
          <t>12 pr</t>
        </is>
      </c>
      <c r="M6072" s="12" t="inlineStr">
        <is>
          <t>18</t>
        </is>
      </c>
      <c r="N6072" s="12" t="n">
        <v>1</v>
      </c>
      <c r="O6072" s="12" t="n">
        <v>1</v>
      </c>
      <c r="P6072" s="12" t="n"/>
      <c r="Q6072" s="12" t="n"/>
      <c r="R6072" s="12" t="n"/>
      <c r="S6072" s="12" t="inlineStr">
        <is>
          <t>Duct bank</t>
        </is>
      </c>
      <c r="T6072" s="15" t="n">
        <v>593</v>
      </c>
      <c r="U6072" s="15" t="n">
        <v>68</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K-I-0173</t>
        </is>
      </c>
      <c r="B6073" s="12" t="inlineStr">
        <is>
          <t>K</t>
        </is>
      </c>
      <c r="C6073" s="12" t="inlineStr">
        <is>
          <t>Fuel supply (adjacent market)</t>
        </is>
      </c>
      <c r="D6073" s="12" t="inlineStr">
        <is>
          <t>Analog instrument to JB JB-M&amp;R 5: ultrasonic -AI01: 20 x 1 pr (field cables)</t>
        </is>
      </c>
      <c r="E6073" s="12" t="inlineStr"/>
      <c r="F6073" s="12" t="inlineStr">
        <is>
          <t>M&amp;R 5: ultrasonic meters, 2 runs (custody transfer)</t>
        </is>
      </c>
      <c r="G6073" s="12" t="inlineStr">
        <is>
          <t>JB-M&amp;R 5: ultrasonic -AI01</t>
        </is>
      </c>
      <c r="H6073" s="12" t="inlineStr">
        <is>
          <t>M&amp;R 5: ultrasonic meters, 2 runs (custody transfer)</t>
        </is>
      </c>
      <c r="I6073" s="12" t="inlineStr">
        <is>
          <t>Instrumentation</t>
        </is>
      </c>
      <c r="J6073" s="12" t="inlineStr">
        <is>
          <t>Instrumentation ITC / PLTC, IS, #18 shielded pairs, blue jacket</t>
        </is>
      </c>
      <c r="K6073" s="12" t="inlineStr">
        <is>
          <t>ITC|1 pr|16</t>
        </is>
      </c>
      <c r="L6073" s="12" t="inlineStr">
        <is>
          <t>1 pr</t>
        </is>
      </c>
      <c r="M6073" s="12" t="inlineStr">
        <is>
          <t>16</t>
        </is>
      </c>
      <c r="N6073" s="12" t="n">
        <v>20</v>
      </c>
      <c r="O6073" s="12" t="n">
        <v>1</v>
      </c>
      <c r="P6073" s="12" t="n"/>
      <c r="Q6073" s="12" t="n"/>
      <c r="R6073" s="12" t="n"/>
      <c r="S6073" s="12" t="inlineStr">
        <is>
          <t>Tray / conduit</t>
        </is>
      </c>
      <c r="T6073" s="15" t="n">
        <v>60</v>
      </c>
      <c r="U6073" s="15" t="n">
        <v>10</v>
      </c>
      <c r="V6073" s="15">
        <f>ROUNDUP((T6073+U6073+2*'Read Me'!$B$13)*(1+'Read Me'!$B$12),-1)</f>
        <v/>
      </c>
      <c r="W6073" s="15">
        <f>V6073*N6073*O6073</f>
        <v/>
      </c>
      <c r="X6073" s="12">
        <f>IF(LEFT(I6073,2)="MV",2*N6073*IF(L6073="1/C",O6073,1),0)</f>
        <v/>
      </c>
      <c r="Y6073" s="12">
        <f>IF(OR(LEFT(K6073,4)="LVAX",LEFT(K6073,6)="MV15AX",LEFT(K6073,4)="CTAX",LEFT(K6073,2)="W|"),2*N6073*O6073,0)</f>
        <v/>
      </c>
      <c r="Z6073" s="12" t="inlineStr">
        <is>
          <t>device-to-JB field wiring, one cable per device</t>
        </is>
      </c>
      <c r="AA6073" s="12">
        <f>N6073*O6073</f>
        <v/>
      </c>
    </row>
    <row r="6074">
      <c r="A6074" s="12" t="inlineStr">
        <is>
          <t>K-I-0174</t>
        </is>
      </c>
      <c r="B6074" s="12" t="inlineStr">
        <is>
          <t>K</t>
        </is>
      </c>
      <c r="C6074" s="12" t="inlineStr">
        <is>
          <t>Fuel supply (adjacent market)</t>
        </is>
      </c>
      <c r="D6074" s="12" t="inlineStr">
        <is>
          <t>Home run JB-M&amp;R 5: ultrasonic -AI01 to the control / marshalling room</t>
        </is>
      </c>
      <c r="E6074" s="12" t="inlineStr"/>
      <c r="F6074" s="12" t="inlineStr">
        <is>
          <t>LNG 17: LNG e-house (13.8 kV / 480 V)</t>
        </is>
      </c>
      <c r="G6074" s="12" t="inlineStr">
        <is>
          <t>JB-M&amp;R 5: ultrasonic -AI01</t>
        </is>
      </c>
      <c r="H6074" s="12" t="inlineStr">
        <is>
          <t>M&amp;R 5: ultrasonic meters, 2 runs (custody transfer)</t>
        </is>
      </c>
      <c r="I6074" s="12" t="inlineStr">
        <is>
          <t>Instrumentation</t>
        </is>
      </c>
      <c r="J6074" s="12" t="inlineStr">
        <is>
          <t>Instrumentation ITC / PLTC, IS, #18 shielded pairs, blue jacket</t>
        </is>
      </c>
      <c r="K6074" s="12" t="inlineStr">
        <is>
          <t>ITC|24 pr|18</t>
        </is>
      </c>
      <c r="L6074" s="12" t="inlineStr">
        <is>
          <t>24 pr</t>
        </is>
      </c>
      <c r="M6074" s="12" t="inlineStr">
        <is>
          <t>18</t>
        </is>
      </c>
      <c r="N6074" s="12" t="n">
        <v>1</v>
      </c>
      <c r="O6074" s="12" t="n">
        <v>1</v>
      </c>
      <c r="P6074" s="12" t="n"/>
      <c r="Q6074" s="12" t="n"/>
      <c r="R6074" s="12" t="n"/>
      <c r="S6074" s="12" t="inlineStr">
        <is>
          <t>Duct bank</t>
        </is>
      </c>
      <c r="T6074" s="15" t="n">
        <v>651</v>
      </c>
      <c r="U6074" s="15" t="n">
        <v>57</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K-I-0175</t>
        </is>
      </c>
      <c r="B6075" s="12" t="inlineStr">
        <is>
          <t>K</t>
        </is>
      </c>
      <c r="C6075" s="12" t="inlineStr">
        <is>
          <t>Fuel supply (adjacent market)</t>
        </is>
      </c>
      <c r="D6075" s="12" t="inlineStr">
        <is>
          <t>Discrete device to JB JB-M&amp;R 5: ultrasonic -DI01: 8 x 1 pr (field cables)</t>
        </is>
      </c>
      <c r="E6075" s="12" t="inlineStr"/>
      <c r="F6075" s="12" t="inlineStr">
        <is>
          <t>M&amp;R 5: ultrasonic meters, 2 runs (custody transfer)</t>
        </is>
      </c>
      <c r="G6075" s="12" t="inlineStr">
        <is>
          <t>JB-M&amp;R 5: ultrasonic -DI01</t>
        </is>
      </c>
      <c r="H6075" s="12" t="inlineStr">
        <is>
          <t>M&amp;R 5: ultrasonic meters, 2 runs (custody transfer)</t>
        </is>
      </c>
      <c r="I6075" s="12" t="inlineStr">
        <is>
          <t>Instrumentation</t>
        </is>
      </c>
      <c r="J6075" s="12" t="inlineStr">
        <is>
          <t>Instrumentation ITC / PLTC, IS, #18 shielded pairs, blue jacket</t>
        </is>
      </c>
      <c r="K6075" s="12" t="inlineStr">
        <is>
          <t>ITC|1 pr|16</t>
        </is>
      </c>
      <c r="L6075" s="12" t="inlineStr">
        <is>
          <t>1 pr</t>
        </is>
      </c>
      <c r="M6075" s="12" t="inlineStr">
        <is>
          <t>16</t>
        </is>
      </c>
      <c r="N6075" s="12" t="n">
        <v>8</v>
      </c>
      <c r="O6075" s="12" t="n">
        <v>1</v>
      </c>
      <c r="P6075" s="12" t="n"/>
      <c r="Q6075" s="12" t="n"/>
      <c r="R6075" s="12" t="n"/>
      <c r="S6075" s="12" t="inlineStr">
        <is>
          <t>Tray / conduit</t>
        </is>
      </c>
      <c r="T6075" s="15" t="n">
        <v>60</v>
      </c>
      <c r="U6075" s="15" t="n">
        <v>10</v>
      </c>
      <c r="V6075" s="15">
        <f>ROUNDUP((T6075+U6075+2*'Read Me'!$B$13)*(1+'Read Me'!$B$12),-1)</f>
        <v/>
      </c>
      <c r="W6075" s="15">
        <f>V6075*N6075*O6075</f>
        <v/>
      </c>
      <c r="X6075" s="12">
        <f>IF(LEFT(I6075,2)="MV",2*N6075*IF(L6075="1/C",O6075,1),0)</f>
        <v/>
      </c>
      <c r="Y6075" s="12">
        <f>IF(OR(LEFT(K6075,4)="LVAX",LEFT(K6075,6)="MV15AX",LEFT(K6075,4)="CTAX",LEFT(K6075,2)="W|"),2*N6075*O6075,0)</f>
        <v/>
      </c>
      <c r="Z6075" s="12" t="inlineStr">
        <is>
          <t>device-to-JB field wiring, one cable per device</t>
        </is>
      </c>
      <c r="AA6075" s="12">
        <f>N6075*O6075</f>
        <v/>
      </c>
    </row>
    <row r="6076">
      <c r="A6076" s="12" t="inlineStr">
        <is>
          <t>K-I-0176</t>
        </is>
      </c>
      <c r="B6076" s="12" t="inlineStr">
        <is>
          <t>K</t>
        </is>
      </c>
      <c r="C6076" s="12" t="inlineStr">
        <is>
          <t>Fuel supply (adjacent market)</t>
        </is>
      </c>
      <c r="D6076" s="12" t="inlineStr">
        <is>
          <t>Home run JB-M&amp;R 5: ultrasonic -DI01 to the control / marshalling room</t>
        </is>
      </c>
      <c r="E6076" s="12" t="inlineStr"/>
      <c r="F6076" s="12" t="inlineStr">
        <is>
          <t>LNG 17: LNG e-house (13.8 kV / 480 V)</t>
        </is>
      </c>
      <c r="G6076" s="12" t="inlineStr">
        <is>
          <t>JB-M&amp;R 5: ultrasonic -DI01</t>
        </is>
      </c>
      <c r="H6076" s="12" t="inlineStr">
        <is>
          <t>M&amp;R 5: ultrasonic meters, 2 runs (custody transfer)</t>
        </is>
      </c>
      <c r="I6076" s="12" t="inlineStr">
        <is>
          <t>Instrumentation</t>
        </is>
      </c>
      <c r="J6076" s="12" t="inlineStr">
        <is>
          <t>Instrumentation ITC / PLTC, IS, #18 shielded pairs, blue jacket</t>
        </is>
      </c>
      <c r="K6076" s="12" t="inlineStr">
        <is>
          <t>ITC|24 pr|18</t>
        </is>
      </c>
      <c r="L6076" s="12" t="inlineStr">
        <is>
          <t>24 pr</t>
        </is>
      </c>
      <c r="M6076" s="12" t="inlineStr">
        <is>
          <t>18</t>
        </is>
      </c>
      <c r="N6076" s="12" t="n">
        <v>1</v>
      </c>
      <c r="O6076" s="12" t="n">
        <v>1</v>
      </c>
      <c r="P6076" s="12" t="n"/>
      <c r="Q6076" s="12" t="n"/>
      <c r="R6076" s="12" t="n"/>
      <c r="S6076" s="12" t="inlineStr">
        <is>
          <t>Duct bank</t>
        </is>
      </c>
      <c r="T6076" s="15" t="n">
        <v>651</v>
      </c>
      <c r="U6076" s="15" t="n">
        <v>57</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K-I-0177</t>
        </is>
      </c>
      <c r="B6077" s="12" t="inlineStr">
        <is>
          <t>K</t>
        </is>
      </c>
      <c r="C6077" s="12" t="inlineStr">
        <is>
          <t>Fuel supply (adjacent market)</t>
        </is>
      </c>
      <c r="D6077" s="12" t="inlineStr">
        <is>
          <t>Analog instrument to JB JB-M&amp;R 6: regulation -AI01: 12 x 1 pr (field cables)</t>
        </is>
      </c>
      <c r="E6077" s="12" t="inlineStr"/>
      <c r="F6077" s="12" t="inlineStr">
        <is>
          <t>M&amp;R 6: regulation / flow control building</t>
        </is>
      </c>
      <c r="G6077" s="12" t="inlineStr">
        <is>
          <t>JB-M&amp;R 6: regulation -AI01</t>
        </is>
      </c>
      <c r="H6077" s="12" t="inlineStr">
        <is>
          <t>M&amp;R 6: regulation / flow control building</t>
        </is>
      </c>
      <c r="I6077" s="12" t="inlineStr">
        <is>
          <t>Instrumentation</t>
        </is>
      </c>
      <c r="J6077" s="12" t="inlineStr">
        <is>
          <t>Instrumentation ITC / PLTC, IS, #18 shielded pairs, blue jacket</t>
        </is>
      </c>
      <c r="K6077" s="12" t="inlineStr">
        <is>
          <t>ITC|1 pr|16</t>
        </is>
      </c>
      <c r="L6077" s="12" t="inlineStr">
        <is>
          <t>1 pr</t>
        </is>
      </c>
      <c r="M6077" s="12" t="inlineStr">
        <is>
          <t>16</t>
        </is>
      </c>
      <c r="N6077" s="12" t="n">
        <v>12</v>
      </c>
      <c r="O6077" s="12" t="n">
        <v>1</v>
      </c>
      <c r="P6077" s="12" t="n"/>
      <c r="Q6077" s="12" t="n"/>
      <c r="R6077" s="12" t="n"/>
      <c r="S6077" s="12" t="inlineStr">
        <is>
          <t>Tray / conduit</t>
        </is>
      </c>
      <c r="T6077" s="15" t="n">
        <v>61</v>
      </c>
      <c r="U6077" s="15" t="n">
        <v>10</v>
      </c>
      <c r="V6077" s="15">
        <f>ROUNDUP((T6077+U6077+2*'Read Me'!$B$13)*(1+'Read Me'!$B$12),-1)</f>
        <v/>
      </c>
      <c r="W6077" s="15">
        <f>V6077*N6077*O6077</f>
        <v/>
      </c>
      <c r="X6077" s="12">
        <f>IF(LEFT(I6077,2)="MV",2*N6077*IF(L6077="1/C",O6077,1),0)</f>
        <v/>
      </c>
      <c r="Y6077" s="12">
        <f>IF(OR(LEFT(K6077,4)="LVAX",LEFT(K6077,6)="MV15AX",LEFT(K6077,4)="CTAX",LEFT(K6077,2)="W|"),2*N6077*O6077,0)</f>
        <v/>
      </c>
      <c r="Z6077" s="12" t="inlineStr">
        <is>
          <t>device-to-JB field wiring, one cable per device</t>
        </is>
      </c>
      <c r="AA6077" s="12">
        <f>N6077*O6077</f>
        <v/>
      </c>
    </row>
    <row r="6078">
      <c r="A6078" s="12" t="inlineStr">
        <is>
          <t>K-I-0178</t>
        </is>
      </c>
      <c r="B6078" s="12" t="inlineStr">
        <is>
          <t>K</t>
        </is>
      </c>
      <c r="C6078" s="12" t="inlineStr">
        <is>
          <t>Fuel supply (adjacent market)</t>
        </is>
      </c>
      <c r="D6078" s="12" t="inlineStr">
        <is>
          <t>Home run JB-M&amp;R 6: regulation -AI01 to the control / marshalling room</t>
        </is>
      </c>
      <c r="E6078" s="12" t="inlineStr"/>
      <c r="F6078" s="12" t="inlineStr">
        <is>
          <t>LNG 17: LNG e-house (13.8 kV / 480 V)</t>
        </is>
      </c>
      <c r="G6078" s="12" t="inlineStr">
        <is>
          <t>JB-M&amp;R 6: regulation -AI01</t>
        </is>
      </c>
      <c r="H6078" s="12" t="inlineStr">
        <is>
          <t>M&amp;R 6: regulation / flow control building</t>
        </is>
      </c>
      <c r="I6078" s="12" t="inlineStr">
        <is>
          <t>Instrumentation</t>
        </is>
      </c>
      <c r="J6078" s="12" t="inlineStr">
        <is>
          <t>Instrumentation ITC / PLTC, IS, #18 shielded pairs, blue jacket</t>
        </is>
      </c>
      <c r="K6078" s="12" t="inlineStr">
        <is>
          <t>ITC|24 pr|18</t>
        </is>
      </c>
      <c r="L6078" s="12" t="inlineStr">
        <is>
          <t>24 pr</t>
        </is>
      </c>
      <c r="M6078" s="12" t="inlineStr">
        <is>
          <t>18</t>
        </is>
      </c>
      <c r="N6078" s="12" t="n">
        <v>1</v>
      </c>
      <c r="O6078" s="12" t="n">
        <v>1</v>
      </c>
      <c r="P6078" s="12" t="n"/>
      <c r="Q6078" s="12" t="n"/>
      <c r="R6078" s="12" t="n"/>
      <c r="S6078" s="12" t="inlineStr">
        <is>
          <t>Duct bank</t>
        </is>
      </c>
      <c r="T6078" s="15" t="n">
        <v>470</v>
      </c>
      <c r="U6078" s="15" t="n">
        <v>70</v>
      </c>
      <c r="V6078" s="15">
        <f>ROUNDUP((T6078+U6078+2*'Read Me'!$B$13)*(1+'Read Me'!$B$12),-1)</f>
        <v/>
      </c>
      <c r="W6078" s="15">
        <f>V6078*N6078*O6078</f>
        <v/>
      </c>
      <c r="X6078" s="12">
        <f>IF(LEFT(I6078,2)="MV",2*N6078*IF(L6078="1/C",O6078,1),0)</f>
        <v/>
      </c>
      <c r="Y6078" s="12">
        <f>IF(OR(LEFT(K6078,4)="LVAX",LEFT(K6078,6)="MV15AX",LEFT(K6078,4)="CTAX",LEFT(K6078,2)="W|"),2*N6078*O6078,0)</f>
        <v/>
      </c>
      <c r="Z6078" s="12" t="inlineStr"/>
      <c r="AA6078" s="12">
        <f>N6078*O6078</f>
        <v/>
      </c>
    </row>
    <row r="6079">
      <c r="A6079" s="12" t="inlineStr">
        <is>
          <t>K-I-0179</t>
        </is>
      </c>
      <c r="B6079" s="12" t="inlineStr">
        <is>
          <t>K</t>
        </is>
      </c>
      <c r="C6079" s="12" t="inlineStr">
        <is>
          <t>Fuel supply (adjacent market)</t>
        </is>
      </c>
      <c r="D6079" s="12" t="inlineStr">
        <is>
          <t>Discrete device to JB JB-M&amp;R 6: regulation -DI01: 12 x 1 pr (field cables)</t>
        </is>
      </c>
      <c r="E6079" s="12" t="inlineStr"/>
      <c r="F6079" s="12" t="inlineStr">
        <is>
          <t>M&amp;R 6: regulation / flow control building</t>
        </is>
      </c>
      <c r="G6079" s="12" t="inlineStr">
        <is>
          <t>JB-M&amp;R 6: regulation -DI01</t>
        </is>
      </c>
      <c r="H6079" s="12" t="inlineStr">
        <is>
          <t>M&amp;R 6: regulation / flow control building</t>
        </is>
      </c>
      <c r="I6079" s="12" t="inlineStr">
        <is>
          <t>Instrumentation</t>
        </is>
      </c>
      <c r="J6079" s="12" t="inlineStr">
        <is>
          <t>Instrumentation ITC / PLTC, IS, #18 shielded pairs, blue jacket</t>
        </is>
      </c>
      <c r="K6079" s="12" t="inlineStr">
        <is>
          <t>ITC|1 pr|16</t>
        </is>
      </c>
      <c r="L6079" s="12" t="inlineStr">
        <is>
          <t>1 pr</t>
        </is>
      </c>
      <c r="M6079" s="12" t="inlineStr">
        <is>
          <t>16</t>
        </is>
      </c>
      <c r="N6079" s="12" t="n">
        <v>12</v>
      </c>
      <c r="O6079" s="12" t="n">
        <v>1</v>
      </c>
      <c r="P6079" s="12" t="n"/>
      <c r="Q6079" s="12" t="n"/>
      <c r="R6079" s="12" t="n"/>
      <c r="S6079" s="12" t="inlineStr">
        <is>
          <t>Tray / conduit</t>
        </is>
      </c>
      <c r="T6079" s="15" t="n">
        <v>61</v>
      </c>
      <c r="U6079" s="15" t="n">
        <v>10</v>
      </c>
      <c r="V6079" s="15">
        <f>ROUNDUP((T6079+U6079+2*'Read Me'!$B$13)*(1+'Read Me'!$B$12),-1)</f>
        <v/>
      </c>
      <c r="W6079" s="15">
        <f>V6079*N6079*O6079</f>
        <v/>
      </c>
      <c r="X6079" s="12">
        <f>IF(LEFT(I6079,2)="MV",2*N6079*IF(L6079="1/C",O6079,1),0)</f>
        <v/>
      </c>
      <c r="Y6079" s="12">
        <f>IF(OR(LEFT(K6079,4)="LVAX",LEFT(K6079,6)="MV15AX",LEFT(K6079,4)="CTAX",LEFT(K6079,2)="W|"),2*N6079*O6079,0)</f>
        <v/>
      </c>
      <c r="Z6079" s="12" t="inlineStr">
        <is>
          <t>device-to-JB field wiring, one cable per device</t>
        </is>
      </c>
      <c r="AA6079" s="12">
        <f>N6079*O6079</f>
        <v/>
      </c>
    </row>
    <row r="6080">
      <c r="A6080" s="12" t="inlineStr">
        <is>
          <t>K-I-0180</t>
        </is>
      </c>
      <c r="B6080" s="12" t="inlineStr">
        <is>
          <t>K</t>
        </is>
      </c>
      <c r="C6080" s="12" t="inlineStr">
        <is>
          <t>Fuel supply (adjacent market)</t>
        </is>
      </c>
      <c r="D6080" s="12" t="inlineStr">
        <is>
          <t>Home run JB-M&amp;R 6: regulation -DI01 to the control / marshalling room</t>
        </is>
      </c>
      <c r="E6080" s="12" t="inlineStr"/>
      <c r="F6080" s="12" t="inlineStr">
        <is>
          <t>LNG 17: LNG e-house (13.8 kV / 480 V)</t>
        </is>
      </c>
      <c r="G6080" s="12" t="inlineStr">
        <is>
          <t>JB-M&amp;R 6: regulation -DI01</t>
        </is>
      </c>
      <c r="H6080" s="12" t="inlineStr">
        <is>
          <t>M&amp;R 6: regulation / flow control building</t>
        </is>
      </c>
      <c r="I6080" s="12" t="inlineStr">
        <is>
          <t>Instrumentation</t>
        </is>
      </c>
      <c r="J6080" s="12" t="inlineStr">
        <is>
          <t>Instrumentation ITC / PLTC, IS, #18 shielded pairs, blue jacket</t>
        </is>
      </c>
      <c r="K6080" s="12" t="inlineStr">
        <is>
          <t>ITC|24 pr|18</t>
        </is>
      </c>
      <c r="L6080" s="12" t="inlineStr">
        <is>
          <t>24 pr</t>
        </is>
      </c>
      <c r="M6080" s="12" t="inlineStr">
        <is>
          <t>18</t>
        </is>
      </c>
      <c r="N6080" s="12" t="n">
        <v>1</v>
      </c>
      <c r="O6080" s="12" t="n">
        <v>1</v>
      </c>
      <c r="P6080" s="12" t="n"/>
      <c r="Q6080" s="12" t="n"/>
      <c r="R6080" s="12" t="n"/>
      <c r="S6080" s="12" t="inlineStr">
        <is>
          <t>Duct bank</t>
        </is>
      </c>
      <c r="T6080" s="15" t="n">
        <v>470</v>
      </c>
      <c r="U6080" s="15" t="n">
        <v>70</v>
      </c>
      <c r="V6080" s="15">
        <f>ROUNDUP((T6080+U6080+2*'Read Me'!$B$13)*(1+'Read Me'!$B$12),-1)</f>
        <v/>
      </c>
      <c r="W6080" s="15">
        <f>V6080*N6080*O6080</f>
        <v/>
      </c>
      <c r="X6080" s="12">
        <f>IF(LEFT(I6080,2)="MV",2*N6080*IF(L6080="1/C",O6080,1),0)</f>
        <v/>
      </c>
      <c r="Y6080" s="12">
        <f>IF(OR(LEFT(K6080,4)="LVAX",LEFT(K6080,6)="MV15AX",LEFT(K6080,4)="CTAX",LEFT(K6080,2)="W|"),2*N6080*O6080,0)</f>
        <v/>
      </c>
      <c r="Z6080" s="12" t="inlineStr"/>
      <c r="AA6080" s="12">
        <f>N6080*O6080</f>
        <v/>
      </c>
    </row>
    <row r="6081">
      <c r="A6081" s="12" t="inlineStr">
        <is>
          <t>K-I-0181</t>
        </is>
      </c>
      <c r="B6081" s="12" t="inlineStr">
        <is>
          <t>K</t>
        </is>
      </c>
      <c r="C6081" s="12" t="inlineStr">
        <is>
          <t>Fuel supply (adjacent market)</t>
        </is>
      </c>
      <c r="D6081" s="12" t="inlineStr">
        <is>
          <t>Analog instrument to JB JB-M&amp;R 7: gas quality-AI01: 20 x 1 pr (field cables)</t>
        </is>
      </c>
      <c r="E6081" s="12" t="inlineStr"/>
      <c r="F6081" s="12" t="inlineStr">
        <is>
          <t>M&amp;R 7: gas quality + measurement building</t>
        </is>
      </c>
      <c r="G6081" s="12" t="inlineStr">
        <is>
          <t>JB-M&amp;R 7: gas quality-AI01</t>
        </is>
      </c>
      <c r="H6081" s="12" t="inlineStr">
        <is>
          <t>M&amp;R 7: gas quality + measurement building</t>
        </is>
      </c>
      <c r="I6081" s="12" t="inlineStr">
        <is>
          <t>Instrumentation</t>
        </is>
      </c>
      <c r="J6081" s="12" t="inlineStr">
        <is>
          <t>Instrumentation ITC / PLTC, IS, #18 shielded pairs, blue jacket</t>
        </is>
      </c>
      <c r="K6081" s="12" t="inlineStr">
        <is>
          <t>ITC|1 pr|16</t>
        </is>
      </c>
      <c r="L6081" s="12" t="inlineStr">
        <is>
          <t>1 pr</t>
        </is>
      </c>
      <c r="M6081" s="12" t="inlineStr">
        <is>
          <t>16</t>
        </is>
      </c>
      <c r="N6081" s="12" t="n">
        <v>20</v>
      </c>
      <c r="O6081" s="12" t="n">
        <v>1</v>
      </c>
      <c r="P6081" s="12" t="n"/>
      <c r="Q6081" s="12" t="n"/>
      <c r="R6081" s="12" t="n"/>
      <c r="S6081" s="12" t="inlineStr">
        <is>
          <t>Tray / conduit</t>
        </is>
      </c>
      <c r="T6081" s="15" t="n">
        <v>41</v>
      </c>
      <c r="U6081" s="15" t="n">
        <v>10</v>
      </c>
      <c r="V6081" s="15">
        <f>ROUNDUP((T6081+U6081+2*'Read Me'!$B$13)*(1+'Read Me'!$B$12),-1)</f>
        <v/>
      </c>
      <c r="W6081" s="15">
        <f>V6081*N6081*O6081</f>
        <v/>
      </c>
      <c r="X6081" s="12">
        <f>IF(LEFT(I6081,2)="MV",2*N6081*IF(L6081="1/C",O6081,1),0)</f>
        <v/>
      </c>
      <c r="Y6081" s="12">
        <f>IF(OR(LEFT(K6081,4)="LVAX",LEFT(K6081,6)="MV15AX",LEFT(K6081,4)="CTAX",LEFT(K6081,2)="W|"),2*N6081*O6081,0)</f>
        <v/>
      </c>
      <c r="Z6081" s="12" t="inlineStr">
        <is>
          <t>device-to-JB field wiring, one cable per device</t>
        </is>
      </c>
      <c r="AA6081" s="12">
        <f>N6081*O6081</f>
        <v/>
      </c>
    </row>
    <row r="6082">
      <c r="A6082" s="12" t="inlineStr">
        <is>
          <t>K-I-0182</t>
        </is>
      </c>
      <c r="B6082" s="12" t="inlineStr">
        <is>
          <t>K</t>
        </is>
      </c>
      <c r="C6082" s="12" t="inlineStr">
        <is>
          <t>Fuel supply (adjacent market)</t>
        </is>
      </c>
      <c r="D6082" s="12" t="inlineStr">
        <is>
          <t>Home run JB-M&amp;R 7: gas quality-AI01 to the control / marshalling room</t>
        </is>
      </c>
      <c r="E6082" s="12" t="inlineStr"/>
      <c r="F6082" s="12" t="inlineStr">
        <is>
          <t>LNG 17: LNG e-house (13.8 kV / 480 V)</t>
        </is>
      </c>
      <c r="G6082" s="12" t="inlineStr">
        <is>
          <t>JB-M&amp;R 7: gas quality-AI01</t>
        </is>
      </c>
      <c r="H6082" s="12" t="inlineStr">
        <is>
          <t>M&amp;R 7: gas quality + measurement building</t>
        </is>
      </c>
      <c r="I6082" s="12" t="inlineStr">
        <is>
          <t>Instrumentation</t>
        </is>
      </c>
      <c r="J6082" s="12" t="inlineStr">
        <is>
          <t>Instrumentation ITC / PLTC, IS, #18 shielded pairs, blue jacket</t>
        </is>
      </c>
      <c r="K6082" s="12" t="inlineStr">
        <is>
          <t>ITC|24 pr|18</t>
        </is>
      </c>
      <c r="L6082" s="12" t="inlineStr">
        <is>
          <t>24 pr</t>
        </is>
      </c>
      <c r="M6082" s="12" t="inlineStr">
        <is>
          <t>18</t>
        </is>
      </c>
      <c r="N6082" s="12" t="n">
        <v>1</v>
      </c>
      <c r="O6082" s="12" t="n">
        <v>1</v>
      </c>
      <c r="P6082" s="12" t="n"/>
      <c r="Q6082" s="12" t="n"/>
      <c r="R6082" s="12" t="n"/>
      <c r="S6082" s="12" t="inlineStr">
        <is>
          <t>Duct bank</t>
        </is>
      </c>
      <c r="T6082" s="15" t="n">
        <v>616</v>
      </c>
      <c r="U6082" s="15" t="n">
        <v>52</v>
      </c>
      <c r="V6082" s="15">
        <f>ROUNDUP((T6082+U6082+2*'Read Me'!$B$13)*(1+'Read Me'!$B$12),-1)</f>
        <v/>
      </c>
      <c r="W6082" s="15">
        <f>V6082*N6082*O6082</f>
        <v/>
      </c>
      <c r="X6082" s="12">
        <f>IF(LEFT(I6082,2)="MV",2*N6082*IF(L6082="1/C",O6082,1),0)</f>
        <v/>
      </c>
      <c r="Y6082" s="12">
        <f>IF(OR(LEFT(K6082,4)="LVAX",LEFT(K6082,6)="MV15AX",LEFT(K6082,4)="CTAX",LEFT(K6082,2)="W|"),2*N6082*O6082,0)</f>
        <v/>
      </c>
      <c r="Z6082" s="12" t="inlineStr"/>
      <c r="AA6082" s="12">
        <f>N6082*O6082</f>
        <v/>
      </c>
    </row>
    <row r="6083">
      <c r="A6083" s="12" t="inlineStr">
        <is>
          <t>K-I-0183</t>
        </is>
      </c>
      <c r="B6083" s="12" t="inlineStr">
        <is>
          <t>K</t>
        </is>
      </c>
      <c r="C6083" s="12" t="inlineStr">
        <is>
          <t>Fuel supply (adjacent market)</t>
        </is>
      </c>
      <c r="D6083" s="12" t="inlineStr">
        <is>
          <t>Discrete device to JB JB-M&amp;R 7: gas quality-DI01: 8 x 1 pr (field cables)</t>
        </is>
      </c>
      <c r="E6083" s="12" t="inlineStr"/>
      <c r="F6083" s="12" t="inlineStr">
        <is>
          <t>M&amp;R 7: gas quality + measurement building</t>
        </is>
      </c>
      <c r="G6083" s="12" t="inlineStr">
        <is>
          <t>JB-M&amp;R 7: gas quality-DI01</t>
        </is>
      </c>
      <c r="H6083" s="12" t="inlineStr">
        <is>
          <t>M&amp;R 7: gas quality + measurement building</t>
        </is>
      </c>
      <c r="I6083" s="12" t="inlineStr">
        <is>
          <t>Instrumentation</t>
        </is>
      </c>
      <c r="J6083" s="12" t="inlineStr">
        <is>
          <t>Instrumentation ITC / PLTC, IS, #18 shielded pairs, blue jacket</t>
        </is>
      </c>
      <c r="K6083" s="12" t="inlineStr">
        <is>
          <t>ITC|1 pr|16</t>
        </is>
      </c>
      <c r="L6083" s="12" t="inlineStr">
        <is>
          <t>1 pr</t>
        </is>
      </c>
      <c r="M6083" s="12" t="inlineStr">
        <is>
          <t>16</t>
        </is>
      </c>
      <c r="N6083" s="12" t="n">
        <v>8</v>
      </c>
      <c r="O6083" s="12" t="n">
        <v>1</v>
      </c>
      <c r="P6083" s="12" t="n"/>
      <c r="Q6083" s="12" t="n"/>
      <c r="R6083" s="12" t="n"/>
      <c r="S6083" s="12" t="inlineStr">
        <is>
          <t>Tray / conduit</t>
        </is>
      </c>
      <c r="T6083" s="15" t="n">
        <v>41</v>
      </c>
      <c r="U6083" s="15" t="n">
        <v>10</v>
      </c>
      <c r="V6083" s="15">
        <f>ROUNDUP((T6083+U6083+2*'Read Me'!$B$13)*(1+'Read Me'!$B$12),-1)</f>
        <v/>
      </c>
      <c r="W6083" s="15">
        <f>V6083*N6083*O6083</f>
        <v/>
      </c>
      <c r="X6083" s="12">
        <f>IF(LEFT(I6083,2)="MV",2*N6083*IF(L6083="1/C",O6083,1),0)</f>
        <v/>
      </c>
      <c r="Y6083" s="12">
        <f>IF(OR(LEFT(K6083,4)="LVAX",LEFT(K6083,6)="MV15AX",LEFT(K6083,4)="CTAX",LEFT(K6083,2)="W|"),2*N6083*O6083,0)</f>
        <v/>
      </c>
      <c r="Z6083" s="12" t="inlineStr">
        <is>
          <t>device-to-JB field wiring, one cable per device</t>
        </is>
      </c>
      <c r="AA6083" s="12">
        <f>N6083*O6083</f>
        <v/>
      </c>
    </row>
    <row r="6084">
      <c r="A6084" s="12" t="inlineStr">
        <is>
          <t>K-I-0184</t>
        </is>
      </c>
      <c r="B6084" s="12" t="inlineStr">
        <is>
          <t>K</t>
        </is>
      </c>
      <c r="C6084" s="12" t="inlineStr">
        <is>
          <t>Fuel supply (adjacent market)</t>
        </is>
      </c>
      <c r="D6084" s="12" t="inlineStr">
        <is>
          <t>Home run JB-M&amp;R 7: gas quality-DI01 to the control / marshalling room</t>
        </is>
      </c>
      <c r="E6084" s="12" t="inlineStr"/>
      <c r="F6084" s="12" t="inlineStr">
        <is>
          <t>LNG 17: LNG e-house (13.8 kV / 480 V)</t>
        </is>
      </c>
      <c r="G6084" s="12" t="inlineStr">
        <is>
          <t>JB-M&amp;R 7: gas quality-DI01</t>
        </is>
      </c>
      <c r="H6084" s="12" t="inlineStr">
        <is>
          <t>M&amp;R 7: gas quality + measurement building</t>
        </is>
      </c>
      <c r="I6084" s="12" t="inlineStr">
        <is>
          <t>Instrumentation</t>
        </is>
      </c>
      <c r="J6084" s="12" t="inlineStr">
        <is>
          <t>Instrumentation ITC / PLTC, IS, #18 shielded pairs, blue jacket</t>
        </is>
      </c>
      <c r="K6084" s="12" t="inlineStr">
        <is>
          <t>ITC|24 pr|18</t>
        </is>
      </c>
      <c r="L6084" s="12" t="inlineStr">
        <is>
          <t>24 pr</t>
        </is>
      </c>
      <c r="M6084" s="12" t="inlineStr">
        <is>
          <t>18</t>
        </is>
      </c>
      <c r="N6084" s="12" t="n">
        <v>1</v>
      </c>
      <c r="O6084" s="12" t="n">
        <v>1</v>
      </c>
      <c r="P6084" s="12" t="n"/>
      <c r="Q6084" s="12" t="n"/>
      <c r="R6084" s="12" t="n"/>
      <c r="S6084" s="12" t="inlineStr">
        <is>
          <t>Duct bank</t>
        </is>
      </c>
      <c r="T6084" s="15" t="n">
        <v>616</v>
      </c>
      <c r="U6084" s="15" t="n">
        <v>52</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K-I-0185</t>
        </is>
      </c>
      <c r="B6085" s="12" t="inlineStr">
        <is>
          <t>K</t>
        </is>
      </c>
      <c r="C6085" s="12" t="inlineStr">
        <is>
          <t>Fuel supply (adjacent market)</t>
        </is>
      </c>
      <c r="D6085" s="12" t="inlineStr">
        <is>
          <t>Analog instrument to JB JB-M&amp;R 8: condensate -AI01: 4 x 1 pr (field cables)</t>
        </is>
      </c>
      <c r="E6085" s="12" t="inlineStr"/>
      <c r="F6085" s="12" t="inlineStr">
        <is>
          <t>M&amp;R 8: condensate tank</t>
        </is>
      </c>
      <c r="G6085" s="12" t="inlineStr">
        <is>
          <t>JB-M&amp;R 8: condensate -AI01</t>
        </is>
      </c>
      <c r="H6085" s="12" t="inlineStr">
        <is>
          <t>M&amp;R 8: condensate tank</t>
        </is>
      </c>
      <c r="I6085" s="12" t="inlineStr">
        <is>
          <t>Instrumentation</t>
        </is>
      </c>
      <c r="J6085" s="12" t="inlineStr">
        <is>
          <t>Instrumentation ITC / PLTC, IS, #18 shielded pairs, blue jacket</t>
        </is>
      </c>
      <c r="K6085" s="12" t="inlineStr">
        <is>
          <t>ITC|1 pr|16</t>
        </is>
      </c>
      <c r="L6085" s="12" t="inlineStr">
        <is>
          <t>1 pr</t>
        </is>
      </c>
      <c r="M6085" s="12" t="inlineStr">
        <is>
          <t>16</t>
        </is>
      </c>
      <c r="N6085" s="12" t="n">
        <v>4</v>
      </c>
      <c r="O6085" s="12" t="n">
        <v>1</v>
      </c>
      <c r="P6085" s="12" t="n"/>
      <c r="Q6085" s="12" t="n"/>
      <c r="R6085" s="12" t="n"/>
      <c r="S6085" s="12" t="inlineStr">
        <is>
          <t>Tray / conduit</t>
        </is>
      </c>
      <c r="T6085" s="15" t="n">
        <v>41</v>
      </c>
      <c r="U6085" s="15" t="n">
        <v>10</v>
      </c>
      <c r="V6085" s="15">
        <f>ROUNDUP((T6085+U6085+2*'Read Me'!$B$13)*(1+'Read Me'!$B$12),-1)</f>
        <v/>
      </c>
      <c r="W6085" s="15">
        <f>V6085*N6085*O6085</f>
        <v/>
      </c>
      <c r="X6085" s="12">
        <f>IF(LEFT(I6085,2)="MV",2*N6085*IF(L6085="1/C",O6085,1),0)</f>
        <v/>
      </c>
      <c r="Y6085" s="12">
        <f>IF(OR(LEFT(K6085,4)="LVAX",LEFT(K6085,6)="MV15AX",LEFT(K6085,4)="CTAX",LEFT(K6085,2)="W|"),2*N6085*O6085,0)</f>
        <v/>
      </c>
      <c r="Z6085" s="12" t="inlineStr">
        <is>
          <t>device-to-JB field wiring, one cable per device</t>
        </is>
      </c>
      <c r="AA6085" s="12">
        <f>N6085*O6085</f>
        <v/>
      </c>
    </row>
    <row r="6086">
      <c r="A6086" s="12" t="inlineStr">
        <is>
          <t>K-I-0186</t>
        </is>
      </c>
      <c r="B6086" s="12" t="inlineStr">
        <is>
          <t>K</t>
        </is>
      </c>
      <c r="C6086" s="12" t="inlineStr">
        <is>
          <t>Fuel supply (adjacent market)</t>
        </is>
      </c>
      <c r="D6086" s="12" t="inlineStr">
        <is>
          <t>Home run JB-M&amp;R 8: condensate -AI01 to the control / marshalling room</t>
        </is>
      </c>
      <c r="E6086" s="12" t="inlineStr"/>
      <c r="F6086" s="12" t="inlineStr">
        <is>
          <t>LNG 17: LNG e-house (13.8 kV / 480 V)</t>
        </is>
      </c>
      <c r="G6086" s="12" t="inlineStr">
        <is>
          <t>JB-M&amp;R 8: condensate -AI01</t>
        </is>
      </c>
      <c r="H6086" s="12" t="inlineStr">
        <is>
          <t>M&amp;R 8: condensate tank</t>
        </is>
      </c>
      <c r="I6086" s="12" t="inlineStr">
        <is>
          <t>Instrumentation</t>
        </is>
      </c>
      <c r="J6086" s="12" t="inlineStr">
        <is>
          <t>Instrumentation ITC / PLTC, IS, #18 shielded pairs, blue jacket</t>
        </is>
      </c>
      <c r="K6086" s="12" t="inlineStr">
        <is>
          <t>ITC|24 pr|18</t>
        </is>
      </c>
      <c r="L6086" s="12" t="inlineStr">
        <is>
          <t>24 pr</t>
        </is>
      </c>
      <c r="M6086" s="12" t="inlineStr">
        <is>
          <t>18</t>
        </is>
      </c>
      <c r="N6086" s="12" t="n">
        <v>1</v>
      </c>
      <c r="O6086" s="12" t="n">
        <v>1</v>
      </c>
      <c r="P6086" s="12" t="n"/>
      <c r="Q6086" s="12" t="n"/>
      <c r="R6086" s="12" t="n"/>
      <c r="S6086" s="12" t="inlineStr">
        <is>
          <t>Duct bank</t>
        </is>
      </c>
      <c r="T6086" s="15" t="n">
        <v>530</v>
      </c>
      <c r="U6086" s="15" t="n">
        <v>87</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K-I-0187</t>
        </is>
      </c>
      <c r="B6087" s="12" t="inlineStr">
        <is>
          <t>K</t>
        </is>
      </c>
      <c r="C6087" s="12" t="inlineStr">
        <is>
          <t>Fuel supply (adjacent market)</t>
        </is>
      </c>
      <c r="D6087" s="12" t="inlineStr">
        <is>
          <t>Discrete device to JB JB-M&amp;R 8: condensate -DI01: 4 x 1 pr (field cables)</t>
        </is>
      </c>
      <c r="E6087" s="12" t="inlineStr"/>
      <c r="F6087" s="12" t="inlineStr">
        <is>
          <t>M&amp;R 8: condensate tank</t>
        </is>
      </c>
      <c r="G6087" s="12" t="inlineStr">
        <is>
          <t>JB-M&amp;R 8: condensate -DI01</t>
        </is>
      </c>
      <c r="H6087" s="12" t="inlineStr">
        <is>
          <t>M&amp;R 8: condensate tank</t>
        </is>
      </c>
      <c r="I6087" s="12" t="inlineStr">
        <is>
          <t>Instrumentation</t>
        </is>
      </c>
      <c r="J6087" s="12" t="inlineStr">
        <is>
          <t>Instrumentation ITC / PLTC, IS, #18 shielded pairs, blue jacket</t>
        </is>
      </c>
      <c r="K6087" s="12" t="inlineStr">
        <is>
          <t>ITC|1 pr|16</t>
        </is>
      </c>
      <c r="L6087" s="12" t="inlineStr">
        <is>
          <t>1 pr</t>
        </is>
      </c>
      <c r="M6087" s="12" t="inlineStr">
        <is>
          <t>16</t>
        </is>
      </c>
      <c r="N6087" s="12" t="n">
        <v>4</v>
      </c>
      <c r="O6087" s="12" t="n">
        <v>1</v>
      </c>
      <c r="P6087" s="12" t="n"/>
      <c r="Q6087" s="12" t="n"/>
      <c r="R6087" s="12" t="n"/>
      <c r="S6087" s="12" t="inlineStr">
        <is>
          <t>Tray / conduit</t>
        </is>
      </c>
      <c r="T6087" s="15" t="n">
        <v>41</v>
      </c>
      <c r="U6087" s="15" t="n">
        <v>10</v>
      </c>
      <c r="V6087" s="15">
        <f>ROUNDUP((T6087+U6087+2*'Read Me'!$B$13)*(1+'Read Me'!$B$12),-1)</f>
        <v/>
      </c>
      <c r="W6087" s="15">
        <f>V6087*N6087*O6087</f>
        <v/>
      </c>
      <c r="X6087" s="12">
        <f>IF(LEFT(I6087,2)="MV",2*N6087*IF(L6087="1/C",O6087,1),0)</f>
        <v/>
      </c>
      <c r="Y6087" s="12">
        <f>IF(OR(LEFT(K6087,4)="LVAX",LEFT(K6087,6)="MV15AX",LEFT(K6087,4)="CTAX",LEFT(K6087,2)="W|"),2*N6087*O6087,0)</f>
        <v/>
      </c>
      <c r="Z6087" s="12" t="inlineStr">
        <is>
          <t>device-to-JB field wiring, one cable per device</t>
        </is>
      </c>
      <c r="AA6087" s="12">
        <f>N6087*O6087</f>
        <v/>
      </c>
    </row>
    <row r="6088">
      <c r="A6088" s="12" t="inlineStr">
        <is>
          <t>K-I-0188</t>
        </is>
      </c>
      <c r="B6088" s="12" t="inlineStr">
        <is>
          <t>K</t>
        </is>
      </c>
      <c r="C6088" s="12" t="inlineStr">
        <is>
          <t>Fuel supply (adjacent market)</t>
        </is>
      </c>
      <c r="D6088" s="12" t="inlineStr">
        <is>
          <t>Home run JB-M&amp;R 8: condensate -DI01 to the control / marshalling room</t>
        </is>
      </c>
      <c r="E6088" s="12" t="inlineStr"/>
      <c r="F6088" s="12" t="inlineStr">
        <is>
          <t>LNG 17: LNG e-house (13.8 kV / 480 V)</t>
        </is>
      </c>
      <c r="G6088" s="12" t="inlineStr">
        <is>
          <t>JB-M&amp;R 8: condensate -DI01</t>
        </is>
      </c>
      <c r="H6088" s="12" t="inlineStr">
        <is>
          <t>M&amp;R 8: condensate tank</t>
        </is>
      </c>
      <c r="I6088" s="12" t="inlineStr">
        <is>
          <t>Instrumentation</t>
        </is>
      </c>
      <c r="J6088" s="12" t="inlineStr">
        <is>
          <t>Instrumentation ITC / PLTC, IS, #18 shielded pairs, blue jacket</t>
        </is>
      </c>
      <c r="K6088" s="12" t="inlineStr">
        <is>
          <t>ITC|24 pr|18</t>
        </is>
      </c>
      <c r="L6088" s="12" t="inlineStr">
        <is>
          <t>24 pr</t>
        </is>
      </c>
      <c r="M6088" s="12" t="inlineStr">
        <is>
          <t>18</t>
        </is>
      </c>
      <c r="N6088" s="12" t="n">
        <v>1</v>
      </c>
      <c r="O6088" s="12" t="n">
        <v>1</v>
      </c>
      <c r="P6088" s="12" t="n"/>
      <c r="Q6088" s="12" t="n"/>
      <c r="R6088" s="12" t="n"/>
      <c r="S6088" s="12" t="inlineStr">
        <is>
          <t>Duct bank</t>
        </is>
      </c>
      <c r="T6088" s="15" t="n">
        <v>530</v>
      </c>
      <c r="U6088" s="15" t="n">
        <v>87</v>
      </c>
      <c r="V6088" s="15">
        <f>ROUNDUP((T6088+U6088+2*'Read Me'!$B$13)*(1+'Read Me'!$B$12),-1)</f>
        <v/>
      </c>
      <c r="W6088" s="15">
        <f>V6088*N6088*O6088</f>
        <v/>
      </c>
      <c r="X6088" s="12">
        <f>IF(LEFT(I6088,2)="MV",2*N6088*IF(L6088="1/C",O6088,1),0)</f>
        <v/>
      </c>
      <c r="Y6088" s="12">
        <f>IF(OR(LEFT(K6088,4)="LVAX",LEFT(K6088,6)="MV15AX",LEFT(K6088,4)="CTAX",LEFT(K6088,2)="W|"),2*N6088*O6088,0)</f>
        <v/>
      </c>
      <c r="Z6088" s="12" t="inlineStr"/>
      <c r="AA6088" s="12">
        <f>N6088*O6088</f>
        <v/>
      </c>
    </row>
    <row r="6089">
      <c r="A6089" s="12" t="inlineStr">
        <is>
          <t>K-I-0189</t>
        </is>
      </c>
      <c r="B6089" s="12" t="inlineStr">
        <is>
          <t>K</t>
        </is>
      </c>
      <c r="C6089" s="12" t="inlineStr">
        <is>
          <t>Fuel supply (adjacent market)</t>
        </is>
      </c>
      <c r="D6089" s="12" t="inlineStr">
        <is>
          <t>Instrumentation</t>
        </is>
      </c>
      <c r="E6089" s="12" t="inlineStr"/>
      <c r="F6089" s="12" t="inlineStr">
        <is>
          <t>LNG 17: LNG e-house (13.8 kV / 480 V)</t>
        </is>
      </c>
      <c r="G6089" s="12" t="inlineStr"/>
      <c r="H6089" s="12" t="inlineStr">
        <is>
          <t>M&amp;R CP test station (as drawn)</t>
        </is>
      </c>
      <c r="I6089" s="12" t="inlineStr">
        <is>
          <t>Instrumentation</t>
        </is>
      </c>
      <c r="J6089" s="12" t="inlineStr">
        <is>
          <t>Instrumentation ITC / PLTC, IS, #18 shielded pairs, blue jacket</t>
        </is>
      </c>
      <c r="K6089" s="12" t="inlineStr">
        <is>
          <t>ITC|4 pr|18</t>
        </is>
      </c>
      <c r="L6089" s="12" t="inlineStr">
        <is>
          <t>4 pr</t>
        </is>
      </c>
      <c r="M6089" s="12" t="inlineStr">
        <is>
          <t>18</t>
        </is>
      </c>
      <c r="N6089" s="12" t="n">
        <v>1</v>
      </c>
      <c r="O6089" s="12" t="n">
        <v>1</v>
      </c>
      <c r="P6089" s="12" t="n"/>
      <c r="Q6089" s="12" t="n"/>
      <c r="R6089" s="12" t="n"/>
      <c r="S6089" s="12" t="inlineStr">
        <is>
          <t>Duct bank</t>
        </is>
      </c>
      <c r="T6089" s="15" t="n">
        <v>441</v>
      </c>
      <c r="U6089" s="15" t="n">
        <v>42</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K-I-0190</t>
        </is>
      </c>
      <c r="B6090" s="12" t="inlineStr">
        <is>
          <t>K</t>
        </is>
      </c>
      <c r="C6090" s="12" t="inlineStr">
        <is>
          <t>Fuel supply (adjacent market)</t>
        </is>
      </c>
      <c r="D6090" s="12" t="inlineStr">
        <is>
          <t>Instrumentation</t>
        </is>
      </c>
      <c r="E6090" s="12" t="inlineStr"/>
      <c r="F6090" s="12" t="inlineStr">
        <is>
          <t>H2 20: 13.8 kV e-house</t>
        </is>
      </c>
      <c r="G6090" s="12" t="inlineStr"/>
      <c r="H6090" s="12" t="inlineStr">
        <is>
          <t>PEM electrolyzer 1 (5 MW PEM stack)</t>
        </is>
      </c>
      <c r="I6090" s="12" t="inlineStr">
        <is>
          <t>Instrumentation</t>
        </is>
      </c>
      <c r="J6090" s="12" t="inlineStr">
        <is>
          <t>Instrumentation ITC / PLTC, IS, #18 shielded pairs, blue jacket</t>
        </is>
      </c>
      <c r="K6090" s="12" t="inlineStr">
        <is>
          <t>ITC|4 pr|18</t>
        </is>
      </c>
      <c r="L6090" s="12" t="inlineStr">
        <is>
          <t>4 pr</t>
        </is>
      </c>
      <c r="M6090" s="12" t="inlineStr">
        <is>
          <t>18</t>
        </is>
      </c>
      <c r="N6090" s="12" t="n">
        <v>1</v>
      </c>
      <c r="O6090" s="12" t="n">
        <v>1</v>
      </c>
      <c r="P6090" s="12" t="n"/>
      <c r="Q6090" s="12" t="n"/>
      <c r="R6090" s="12" t="n"/>
      <c r="S6090" s="12" t="inlineStr">
        <is>
          <t>Duct bank</t>
        </is>
      </c>
      <c r="T6090" s="15" t="n">
        <v>358</v>
      </c>
      <c r="U6090" s="15" t="n">
        <v>32</v>
      </c>
      <c r="V6090" s="15">
        <f>ROUNDUP((T6090+U6090+2*'Read Me'!$B$13)*(1+'Read Me'!$B$12),-1)</f>
        <v/>
      </c>
      <c r="W6090" s="15">
        <f>V6090*N6090*O6090</f>
        <v/>
      </c>
      <c r="X6090" s="12">
        <f>IF(LEFT(I6090,2)="MV",2*N6090*IF(L6090="1/C",O6090,1),0)</f>
        <v/>
      </c>
      <c r="Y6090" s="12">
        <f>IF(OR(LEFT(K6090,4)="LVAX",LEFT(K6090,6)="MV15AX",LEFT(K6090,4)="CTAX",LEFT(K6090,2)="W|"),2*N6090*O6090,0)</f>
        <v/>
      </c>
      <c r="Z6090" s="12" t="inlineStr"/>
      <c r="AA6090" s="12">
        <f>N6090*O6090</f>
        <v/>
      </c>
    </row>
    <row r="6091">
      <c r="A6091" s="12" t="inlineStr">
        <is>
          <t>K-I-0191</t>
        </is>
      </c>
      <c r="B6091" s="12" t="inlineStr">
        <is>
          <t>K</t>
        </is>
      </c>
      <c r="C6091" s="12" t="inlineStr">
        <is>
          <t>Fuel supply (adjacent market)</t>
        </is>
      </c>
      <c r="D6091" s="12" t="inlineStr">
        <is>
          <t>Instrumentation</t>
        </is>
      </c>
      <c r="E6091" s="12" t="inlineStr"/>
      <c r="F6091" s="12" t="inlineStr">
        <is>
          <t>H2 20: 13.8 kV e-house</t>
        </is>
      </c>
      <c r="G6091" s="12" t="inlineStr"/>
      <c r="H6091" s="12" t="inlineStr">
        <is>
          <t>PEM electrolyzer 2 (5 MW PEM stack)</t>
        </is>
      </c>
      <c r="I6091" s="12" t="inlineStr">
        <is>
          <t>Instrumentation</t>
        </is>
      </c>
      <c r="J6091" s="12" t="inlineStr">
        <is>
          <t>Instrumentation ITC / PLTC, IS, #18 shielded pairs, blue jacket</t>
        </is>
      </c>
      <c r="K6091" s="12" t="inlineStr">
        <is>
          <t>ITC|4 pr|18</t>
        </is>
      </c>
      <c r="L6091" s="12" t="inlineStr">
        <is>
          <t>4 pr</t>
        </is>
      </c>
      <c r="M6091" s="12" t="inlineStr">
        <is>
          <t>18</t>
        </is>
      </c>
      <c r="N6091" s="12" t="n">
        <v>1</v>
      </c>
      <c r="O6091" s="12" t="n">
        <v>1</v>
      </c>
      <c r="P6091" s="12" t="n"/>
      <c r="Q6091" s="12" t="n"/>
      <c r="R6091" s="12" t="n"/>
      <c r="S6091" s="12" t="inlineStr">
        <is>
          <t>Duct bank</t>
        </is>
      </c>
      <c r="T6091" s="15" t="n">
        <v>358</v>
      </c>
      <c r="U6091" s="15" t="n">
        <v>48</v>
      </c>
      <c r="V6091" s="15">
        <f>ROUNDUP((T6091+U6091+2*'Read Me'!$B$13)*(1+'Read Me'!$B$12),-1)</f>
        <v/>
      </c>
      <c r="W6091" s="15">
        <f>V6091*N6091*O6091</f>
        <v/>
      </c>
      <c r="X6091" s="12">
        <f>IF(LEFT(I6091,2)="MV",2*N6091*IF(L6091="1/C",O6091,1),0)</f>
        <v/>
      </c>
      <c r="Y6091" s="12">
        <f>IF(OR(LEFT(K6091,4)="LVAX",LEFT(K6091,6)="MV15AX",LEFT(K6091,4)="CTAX",LEFT(K6091,2)="W|"),2*N6091*O6091,0)</f>
        <v/>
      </c>
      <c r="Z6091" s="12" t="inlineStr"/>
      <c r="AA6091" s="12">
        <f>N6091*O6091</f>
        <v/>
      </c>
    </row>
    <row r="6092">
      <c r="A6092" s="12" t="inlineStr">
        <is>
          <t>K-I-0192</t>
        </is>
      </c>
      <c r="B6092" s="12" t="inlineStr">
        <is>
          <t>K</t>
        </is>
      </c>
      <c r="C6092" s="12" t="inlineStr">
        <is>
          <t>Fuel supply (adjacent market)</t>
        </is>
      </c>
      <c r="D6092" s="12" t="inlineStr">
        <is>
          <t>Instrumentation</t>
        </is>
      </c>
      <c r="E6092" s="12" t="inlineStr"/>
      <c r="F6092" s="12" t="inlineStr">
        <is>
          <t>H2 20: 13.8 kV e-house</t>
        </is>
      </c>
      <c r="G6092" s="12" t="inlineStr"/>
      <c r="H6092" s="12" t="inlineStr">
        <is>
          <t>PEM electrolyzer 3 (5 MW PEM stack)</t>
        </is>
      </c>
      <c r="I6092" s="12" t="inlineStr">
        <is>
          <t>Instrumentation</t>
        </is>
      </c>
      <c r="J6092" s="12" t="inlineStr">
        <is>
          <t>Instrumentation ITC / PLTC, IS, #18 shielded pairs, blue jacket</t>
        </is>
      </c>
      <c r="K6092" s="12" t="inlineStr">
        <is>
          <t>ITC|4 pr|18</t>
        </is>
      </c>
      <c r="L6092" s="12" t="inlineStr">
        <is>
          <t>4 pr</t>
        </is>
      </c>
      <c r="M6092" s="12" t="inlineStr">
        <is>
          <t>18</t>
        </is>
      </c>
      <c r="N6092" s="12" t="n">
        <v>1</v>
      </c>
      <c r="O6092" s="12" t="n">
        <v>1</v>
      </c>
      <c r="P6092" s="12" t="n"/>
      <c r="Q6092" s="12" t="n"/>
      <c r="R6092" s="12" t="n"/>
      <c r="S6092" s="12" t="inlineStr">
        <is>
          <t>Duct bank</t>
        </is>
      </c>
      <c r="T6092" s="15" t="n">
        <v>348</v>
      </c>
      <c r="U6092" s="15" t="n">
        <v>49</v>
      </c>
      <c r="V6092" s="15">
        <f>ROUNDUP((T6092+U6092+2*'Read Me'!$B$13)*(1+'Read Me'!$B$12),-1)</f>
        <v/>
      </c>
      <c r="W6092" s="15">
        <f>V6092*N6092*O6092</f>
        <v/>
      </c>
      <c r="X6092" s="12">
        <f>IF(LEFT(I6092,2)="MV",2*N6092*IF(L6092="1/C",O6092,1),0)</f>
        <v/>
      </c>
      <c r="Y6092" s="12">
        <f>IF(OR(LEFT(K6092,4)="LVAX",LEFT(K6092,6)="MV15AX",LEFT(K6092,4)="CTAX",LEFT(K6092,2)="W|"),2*N6092*O6092,0)</f>
        <v/>
      </c>
      <c r="Z6092" s="12" t="inlineStr"/>
      <c r="AA6092" s="12">
        <f>N6092*O6092</f>
        <v/>
      </c>
    </row>
    <row r="6093">
      <c r="A6093" s="12" t="inlineStr">
        <is>
          <t>K-I-0193</t>
        </is>
      </c>
      <c r="B6093" s="12" t="inlineStr">
        <is>
          <t>K</t>
        </is>
      </c>
      <c r="C6093" s="12" t="inlineStr">
        <is>
          <t>Fuel supply (adjacent market)</t>
        </is>
      </c>
      <c r="D6093" s="12" t="inlineStr">
        <is>
          <t>Instrumentation</t>
        </is>
      </c>
      <c r="E6093" s="12" t="inlineStr"/>
      <c r="F6093" s="12" t="inlineStr">
        <is>
          <t>H2 20: 13.8 kV e-house</t>
        </is>
      </c>
      <c r="G6093" s="12" t="inlineStr"/>
      <c r="H6093" s="12" t="inlineStr">
        <is>
          <t>PEM electrolyzer 4 (5 MW PEM stack)</t>
        </is>
      </c>
      <c r="I6093" s="12" t="inlineStr">
        <is>
          <t>Instrumentation</t>
        </is>
      </c>
      <c r="J6093" s="12" t="inlineStr">
        <is>
          <t>Instrumentation ITC / PLTC, IS, #18 shielded pairs, blue jacket</t>
        </is>
      </c>
      <c r="K6093" s="12" t="inlineStr">
        <is>
          <t>ITC|4 pr|18</t>
        </is>
      </c>
      <c r="L6093" s="12" t="inlineStr">
        <is>
          <t>4 pr</t>
        </is>
      </c>
      <c r="M6093" s="12" t="inlineStr">
        <is>
          <t>18</t>
        </is>
      </c>
      <c r="N6093" s="12" t="n">
        <v>1</v>
      </c>
      <c r="O6093" s="12" t="n">
        <v>1</v>
      </c>
      <c r="P6093" s="12" t="n"/>
      <c r="Q6093" s="12" t="n"/>
      <c r="R6093" s="12" t="n"/>
      <c r="S6093" s="12" t="inlineStr">
        <is>
          <t>Duct bank</t>
        </is>
      </c>
      <c r="T6093" s="15" t="n">
        <v>328</v>
      </c>
      <c r="U6093" s="15" t="n">
        <v>49</v>
      </c>
      <c r="V6093" s="15">
        <f>ROUNDUP((T6093+U6093+2*'Read Me'!$B$13)*(1+'Read Me'!$B$12),-1)</f>
        <v/>
      </c>
      <c r="W6093" s="15">
        <f>V6093*N6093*O6093</f>
        <v/>
      </c>
      <c r="X6093" s="12">
        <f>IF(LEFT(I6093,2)="MV",2*N6093*IF(L6093="1/C",O6093,1),0)</f>
        <v/>
      </c>
      <c r="Y6093" s="12">
        <f>IF(OR(LEFT(K6093,4)="LVAX",LEFT(K6093,6)="MV15AX",LEFT(K6093,4)="CTAX",LEFT(K6093,2)="W|"),2*N6093*O6093,0)</f>
        <v/>
      </c>
      <c r="Z6093" s="12" t="inlineStr"/>
      <c r="AA6093" s="12">
        <f>N6093*O6093</f>
        <v/>
      </c>
    </row>
    <row r="6094">
      <c r="A6094" s="12" t="inlineStr">
        <is>
          <t>K-I-0194</t>
        </is>
      </c>
      <c r="B6094" s="12" t="inlineStr">
        <is>
          <t>K</t>
        </is>
      </c>
      <c r="C6094" s="12" t="inlineStr">
        <is>
          <t>Fuel supply (adjacent market)</t>
        </is>
      </c>
      <c r="D6094" s="12" t="inlineStr">
        <is>
          <t>Instrumentation</t>
        </is>
      </c>
      <c r="E6094" s="12" t="inlineStr"/>
      <c r="F6094" s="12" t="inlineStr">
        <is>
          <t>H2 20: 13.8 kV e-house</t>
        </is>
      </c>
      <c r="G6094" s="12" t="inlineStr"/>
      <c r="H6094" s="12" t="inlineStr">
        <is>
          <t>PEM electrolyzer 5 (5 MW PEM stack)</t>
        </is>
      </c>
      <c r="I6094" s="12" t="inlineStr">
        <is>
          <t>Instrumentation</t>
        </is>
      </c>
      <c r="J6094" s="12" t="inlineStr">
        <is>
          <t>Instrumentation ITC / PLTC, IS, #18 shielded pairs, blue jacket</t>
        </is>
      </c>
      <c r="K6094" s="12" t="inlineStr">
        <is>
          <t>ITC|4 pr|18</t>
        </is>
      </c>
      <c r="L6094" s="12" t="inlineStr">
        <is>
          <t>4 pr</t>
        </is>
      </c>
      <c r="M6094" s="12" t="inlineStr">
        <is>
          <t>18</t>
        </is>
      </c>
      <c r="N6094" s="12" t="n">
        <v>1</v>
      </c>
      <c r="O6094" s="12" t="n">
        <v>1</v>
      </c>
      <c r="P6094" s="12" t="n"/>
      <c r="Q6094" s="12" t="n"/>
      <c r="R6094" s="12" t="n"/>
      <c r="S6094" s="12" t="inlineStr">
        <is>
          <t>Duct bank</t>
        </is>
      </c>
      <c r="T6094" s="15" t="n">
        <v>328</v>
      </c>
      <c r="U6094" s="15" t="n">
        <v>32</v>
      </c>
      <c r="V6094" s="15">
        <f>ROUNDUP((T6094+U6094+2*'Read Me'!$B$13)*(1+'Read Me'!$B$12),-1)</f>
        <v/>
      </c>
      <c r="W6094" s="15">
        <f>V6094*N6094*O6094</f>
        <v/>
      </c>
      <c r="X6094" s="12">
        <f>IF(LEFT(I6094,2)="MV",2*N6094*IF(L6094="1/C",O6094,1),0)</f>
        <v/>
      </c>
      <c r="Y6094" s="12">
        <f>IF(OR(LEFT(K6094,4)="LVAX",LEFT(K6094,6)="MV15AX",LEFT(K6094,4)="CTAX",LEFT(K6094,2)="W|"),2*N6094*O6094,0)</f>
        <v/>
      </c>
      <c r="Z6094" s="12" t="inlineStr"/>
      <c r="AA6094" s="12">
        <f>N6094*O6094</f>
        <v/>
      </c>
    </row>
    <row r="6095">
      <c r="A6095" s="12" t="inlineStr">
        <is>
          <t>K-P-0001</t>
        </is>
      </c>
      <c r="B6095" s="12" t="inlineStr">
        <is>
          <t>K</t>
        </is>
      </c>
      <c r="C6095" s="12" t="inlineStr">
        <is>
          <t>Fuel supply (adjacent market)</t>
        </is>
      </c>
      <c r="D6095" s="12" t="inlineStr">
        <is>
          <t>Motor 1 of 1, 15 kW</t>
        </is>
      </c>
      <c r="E6095" s="12" t="inlineStr"/>
      <c r="F6095" s="12" t="inlineStr">
        <is>
          <t>H2 20: 13.8 kV e-house</t>
        </is>
      </c>
      <c r="G6095" s="12" t="inlineStr">
        <is>
          <t>T-H2</t>
        </is>
      </c>
      <c r="H6095" s="12" t="inlineStr">
        <is>
          <t>H2 19: T-H2 230/13.8 kV (about 40 MVA)</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35</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0.7 %</t>
        </is>
      </c>
      <c r="AA6095" s="12">
        <f>N6095*O6095</f>
        <v/>
      </c>
    </row>
    <row r="6096">
      <c r="A6096" s="12" t="inlineStr">
        <is>
          <t>K-P-0002</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20: 13.8 kV e-house</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Tray</t>
        </is>
      </c>
      <c r="T6096" s="15" t="n">
        <v>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0.3 %</t>
        </is>
      </c>
      <c r="AA6096" s="12">
        <f>N6096*O6096</f>
        <v/>
      </c>
    </row>
    <row r="6097">
      <c r="A6097" s="12" t="inlineStr">
        <is>
          <t>K-P-0003</t>
        </is>
      </c>
      <c r="B6097" s="12" t="inlineStr">
        <is>
          <t>K</t>
        </is>
      </c>
      <c r="C6097" s="12" t="inlineStr">
        <is>
          <t>Fuel supply (adjacent market)</t>
        </is>
      </c>
      <c r="D6097" s="12" t="inlineStr">
        <is>
          <t>Motor 1 of 1, 15 kW</t>
        </is>
      </c>
      <c r="E6097" s="12" t="inlineStr"/>
      <c r="F6097" s="12" t="inlineStr">
        <is>
          <t>H2 20: 13.8 kV e-house</t>
        </is>
      </c>
      <c r="G6097" s="12" t="inlineStr"/>
      <c r="H6097" s="12" t="inlineStr">
        <is>
          <t>H2 21: rectifier transformer 1 (7 MVA)</t>
        </is>
      </c>
      <c r="I6097" s="12" t="inlineStr">
        <is>
          <t>LV 600 V</t>
        </is>
      </c>
      <c r="J6097" s="12" t="inlineStr">
        <is>
          <t>ARMOR-X MC-HL 600 V 3/C Cu XHHW-2 + ground, CWA, black PVC (Class I Div 2)</t>
        </is>
      </c>
      <c r="K6097" s="12" t="inlineStr">
        <is>
          <t>LVAX|3/C+G|8</t>
        </is>
      </c>
      <c r="L6097" s="12" t="inlineStr">
        <is>
          <t>3/C+G</t>
        </is>
      </c>
      <c r="M6097" s="12" t="inlineStr">
        <is>
          <t>8</t>
        </is>
      </c>
      <c r="N6097" s="12" t="n">
        <v>1</v>
      </c>
      <c r="O6097" s="12" t="n">
        <v>1</v>
      </c>
      <c r="P6097" s="12" t="n">
        <v>480</v>
      </c>
      <c r="Q6097" s="12" t="n">
        <v>15</v>
      </c>
      <c r="R6097" s="12" t="n">
        <v>21.2</v>
      </c>
      <c r="S6097" s="12" t="inlineStr">
        <is>
          <t>Duct bank</t>
        </is>
      </c>
      <c r="T6097" s="15" t="n">
        <v>356</v>
      </c>
      <c r="U6097" s="15" t="n">
        <v>48</v>
      </c>
      <c r="V6097" s="15">
        <f>ROUNDUP((T6097+U6097+2*'Read Me'!$B$13)*(1+'Read Me'!$B$12),-1)</f>
        <v/>
      </c>
      <c r="W6097" s="15">
        <f>V6097*N6097*O6097</f>
        <v/>
      </c>
      <c r="X6097" s="12">
        <f>IF(LEFT(I6097,2)="MV",2*N6097*IF(L6097="1/C",O6097,1),0)</f>
        <v/>
      </c>
      <c r="Y6097" s="12">
        <f>IF(OR(LEFT(K6097,4)="LVAX",LEFT(K6097,6)="MV15AX",LEFT(K6097,4)="CTAX",LEFT(K6097,2)="W|"),2*N6097*O6097,0)</f>
        <v/>
      </c>
      <c r="Z6097" s="12" t="inlineStr">
        <is>
          <t>VD 2.6 %</t>
        </is>
      </c>
      <c r="AA6097" s="12">
        <f>N6097*O6097</f>
        <v/>
      </c>
    </row>
    <row r="6098">
      <c r="A6098" s="12" t="inlineStr">
        <is>
          <t>K-P-0004</t>
        </is>
      </c>
      <c r="B6098" s="12" t="inlineStr">
        <is>
          <t>K</t>
        </is>
      </c>
      <c r="C6098" s="12" t="inlineStr">
        <is>
          <t>Fuel supply (adjacent market)</t>
        </is>
      </c>
      <c r="D6098" s="12" t="inlineStr">
        <is>
          <t>Motor 1 of 1, 15 kW</t>
        </is>
      </c>
      <c r="E6098" s="12" t="inlineStr"/>
      <c r="F6098" s="12" t="inlineStr">
        <is>
          <t>H2 20: 13.8 kV e-house</t>
        </is>
      </c>
      <c r="G6098" s="12" t="inlineStr"/>
      <c r="H6098" s="12" t="inlineStr">
        <is>
          <t>H2 21: rectifier transformer 2 (7 MVA)</t>
        </is>
      </c>
      <c r="I6098" s="12" t="inlineStr">
        <is>
          <t>LV 600 V</t>
        </is>
      </c>
      <c r="J6098" s="12" t="inlineStr">
        <is>
          <t>ARMOR-X MC-HL 600 V 3/C Cu XHHW-2 + ground, CWA, black PVC (Class I Div 2)</t>
        </is>
      </c>
      <c r="K6098" s="12" t="inlineStr">
        <is>
          <t>LVAX|3/C+G|8</t>
        </is>
      </c>
      <c r="L6098" s="12" t="inlineStr">
        <is>
          <t>3/C+G</t>
        </is>
      </c>
      <c r="M6098" s="12" t="inlineStr">
        <is>
          <t>8</t>
        </is>
      </c>
      <c r="N6098" s="12" t="n">
        <v>1</v>
      </c>
      <c r="O6098" s="12" t="n">
        <v>1</v>
      </c>
      <c r="P6098" s="12" t="n">
        <v>480</v>
      </c>
      <c r="Q6098" s="12" t="n">
        <v>15</v>
      </c>
      <c r="R6098" s="12" t="n">
        <v>21.2</v>
      </c>
      <c r="S6098" s="12" t="inlineStr">
        <is>
          <t>Duct bank</t>
        </is>
      </c>
      <c r="T6098" s="15" t="n">
        <v>356</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2.5 %</t>
        </is>
      </c>
      <c r="AA6098" s="12">
        <f>N6098*O6098</f>
        <v/>
      </c>
    </row>
    <row r="6099">
      <c r="A6099" s="12" t="inlineStr">
        <is>
          <t>K-P-0005</t>
        </is>
      </c>
      <c r="B6099" s="12" t="inlineStr">
        <is>
          <t>K</t>
        </is>
      </c>
      <c r="C6099" s="12" t="inlineStr">
        <is>
          <t>Fuel supply (adjacent market)</t>
        </is>
      </c>
      <c r="D6099" s="12" t="inlineStr">
        <is>
          <t>Motor 1 of 1, 15 kW</t>
        </is>
      </c>
      <c r="E6099" s="12" t="inlineStr"/>
      <c r="F6099" s="12" t="inlineStr">
        <is>
          <t>H2 20: 13.8 kV e-house</t>
        </is>
      </c>
      <c r="G6099" s="12" t="inlineStr"/>
      <c r="H6099" s="12" t="inlineStr">
        <is>
          <t>H2 21: rectifier transformer 3 (7 MVA)</t>
        </is>
      </c>
      <c r="I6099" s="12" t="inlineStr">
        <is>
          <t>LV 600 V</t>
        </is>
      </c>
      <c r="J6099" s="12" t="inlineStr">
        <is>
          <t>ARMOR-X MC-HL 600 V 3/C Cu XHHW-2 + ground, CWA, black PVC (Class I Div 2)</t>
        </is>
      </c>
      <c r="K6099" s="12" t="inlineStr">
        <is>
          <t>LVAX|3/C+G|8</t>
        </is>
      </c>
      <c r="L6099" s="12" t="inlineStr">
        <is>
          <t>3/C+G</t>
        </is>
      </c>
      <c r="M6099" s="12" t="inlineStr">
        <is>
          <t>8</t>
        </is>
      </c>
      <c r="N6099" s="12" t="n">
        <v>1</v>
      </c>
      <c r="O6099" s="12" t="n">
        <v>1</v>
      </c>
      <c r="P6099" s="12" t="n">
        <v>480</v>
      </c>
      <c r="Q6099" s="12" t="n">
        <v>15</v>
      </c>
      <c r="R6099" s="12" t="n">
        <v>21.2</v>
      </c>
      <c r="S6099" s="12" t="inlineStr">
        <is>
          <t>Duct bank</t>
        </is>
      </c>
      <c r="T6099" s="15" t="n">
        <v>334</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2.4 %</t>
        </is>
      </c>
      <c r="AA6099" s="12">
        <f>N6099*O6099</f>
        <v/>
      </c>
    </row>
    <row r="6100">
      <c r="A6100" s="12" t="inlineStr">
        <is>
          <t>K-P-0006</t>
        </is>
      </c>
      <c r="B6100" s="12" t="inlineStr">
        <is>
          <t>K</t>
        </is>
      </c>
      <c r="C6100" s="12" t="inlineStr">
        <is>
          <t>Fuel supply (adjacent market)</t>
        </is>
      </c>
      <c r="D6100" s="12" t="inlineStr">
        <is>
          <t>Motor 1 of 1, 15 kW</t>
        </is>
      </c>
      <c r="E6100" s="12" t="inlineStr"/>
      <c r="F6100" s="12" t="inlineStr">
        <is>
          <t>H2 20: 13.8 kV e-house</t>
        </is>
      </c>
      <c r="G6100" s="12" t="inlineStr"/>
      <c r="H6100" s="12" t="inlineStr">
        <is>
          <t>H2 21: rectifier transformer 4 (7 MVA)</t>
        </is>
      </c>
      <c r="I6100" s="12" t="inlineStr">
        <is>
          <t>LV 600 V</t>
        </is>
      </c>
      <c r="J6100" s="12" t="inlineStr">
        <is>
          <t>ARMOR-X MC-HL 600 V 3/C Cu XHHW-2 + ground, CWA, black PVC (Class I Div 2)</t>
        </is>
      </c>
      <c r="K6100" s="12" t="inlineStr">
        <is>
          <t>LVAX|3/C+G|8</t>
        </is>
      </c>
      <c r="L6100" s="12" t="inlineStr">
        <is>
          <t>3/C+G</t>
        </is>
      </c>
      <c r="M6100" s="12" t="inlineStr">
        <is>
          <t>8</t>
        </is>
      </c>
      <c r="N6100" s="12" t="n">
        <v>1</v>
      </c>
      <c r="O6100" s="12" t="n">
        <v>1</v>
      </c>
      <c r="P6100" s="12" t="n">
        <v>480</v>
      </c>
      <c r="Q6100" s="12" t="n">
        <v>15</v>
      </c>
      <c r="R6100" s="12" t="n">
        <v>21.2</v>
      </c>
      <c r="S6100" s="12" t="inlineStr">
        <is>
          <t>Duct bank</t>
        </is>
      </c>
      <c r="T6100" s="15" t="n">
        <v>312</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K-P-0007</t>
        </is>
      </c>
      <c r="B6101" s="12" t="inlineStr">
        <is>
          <t>K</t>
        </is>
      </c>
      <c r="C6101" s="12" t="inlineStr">
        <is>
          <t>Fuel supply (adjacent market)</t>
        </is>
      </c>
      <c r="D6101" s="12" t="inlineStr">
        <is>
          <t>Motor 1 of 1, 15 kW</t>
        </is>
      </c>
      <c r="E6101" s="12" t="inlineStr"/>
      <c r="F6101" s="12" t="inlineStr">
        <is>
          <t>H2 20: 13.8 kV e-house</t>
        </is>
      </c>
      <c r="G6101" s="12" t="inlineStr"/>
      <c r="H6101" s="12" t="inlineStr">
        <is>
          <t>H2 21: rectifier transformer 5 (7 MVA)</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254</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2.9 %</t>
        </is>
      </c>
      <c r="AA6101" s="12">
        <f>N6101*O6101</f>
        <v/>
      </c>
    </row>
    <row r="6102">
      <c r="A6102" s="12" t="inlineStr">
        <is>
          <t>K-P-0008</t>
        </is>
      </c>
      <c r="B6102" s="12" t="inlineStr">
        <is>
          <t>K</t>
        </is>
      </c>
      <c r="C6102" s="12" t="inlineStr">
        <is>
          <t>Fuel supply (adjacent market)</t>
        </is>
      </c>
      <c r="D6102" s="12" t="inlineStr">
        <is>
          <t>Motor 1 of 1, 15 kW</t>
        </is>
      </c>
      <c r="E6102" s="12" t="inlineStr"/>
      <c r="F6102" s="12" t="inlineStr">
        <is>
          <t>H2 20: 13.8 kV e-house</t>
        </is>
      </c>
      <c r="G6102" s="12" t="inlineStr">
        <is>
          <t>H2-EL</t>
        </is>
      </c>
      <c r="H6102" s="12" t="inlineStr">
        <is>
          <t>H2 22: electrolyzer building (5 x 5 MW PEM + 5 rectifiers)</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346</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2.4 %</t>
        </is>
      </c>
      <c r="AA6102" s="12">
        <f>N6102*O6102</f>
        <v/>
      </c>
    </row>
    <row r="6103">
      <c r="A6103" s="12" t="inlineStr">
        <is>
          <t>K-P-0009</t>
        </is>
      </c>
      <c r="B6103" s="12" t="inlineStr">
        <is>
          <t>K</t>
        </is>
      </c>
      <c r="C6103" s="12" t="inlineStr">
        <is>
          <t>Fuel supply (adjacent market)</t>
        </is>
      </c>
      <c r="D6103" s="12" t="inlineStr">
        <is>
          <t>Motor 1 of 1, 15 kW</t>
        </is>
      </c>
      <c r="E6103" s="12" t="inlineStr"/>
      <c r="F6103" s="12" t="inlineStr">
        <is>
          <t>H2 20: 13.8 kV e-house</t>
        </is>
      </c>
      <c r="G6103" s="12" t="inlineStr"/>
      <c r="H6103" s="12" t="inlineStr">
        <is>
          <t>H2 23: dry coolers</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100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1.3 %</t>
        </is>
      </c>
      <c r="AA6103" s="12">
        <f>N6103*O6103</f>
        <v/>
      </c>
    </row>
    <row r="6104">
      <c r="A6104" s="12" t="inlineStr">
        <is>
          <t>K-P-0010</t>
        </is>
      </c>
      <c r="B6104" s="12" t="inlineStr">
        <is>
          <t>K</t>
        </is>
      </c>
      <c r="C6104" s="12" t="inlineStr">
        <is>
          <t>Fuel supply (adjacent market)</t>
        </is>
      </c>
      <c r="D6104" s="12" t="inlineStr">
        <is>
          <t>Motor 1 of 1, 15 kW</t>
        </is>
      </c>
      <c r="E6104" s="12" t="inlineStr"/>
      <c r="F6104" s="12" t="inlineStr">
        <is>
          <t>H2 20: 13.8 kV e-house</t>
        </is>
      </c>
      <c r="G6104" s="12" t="inlineStr"/>
      <c r="H6104" s="12" t="inlineStr">
        <is>
          <t>H2 24: water purification (RO / EDI)</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146</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1.8 %</t>
        </is>
      </c>
      <c r="AA6104" s="12">
        <f>N6104*O6104</f>
        <v/>
      </c>
    </row>
    <row r="6105">
      <c r="A6105" s="12" t="inlineStr">
        <is>
          <t>K-P-0011</t>
        </is>
      </c>
      <c r="B6105" s="12" t="inlineStr">
        <is>
          <t>K</t>
        </is>
      </c>
      <c r="C6105" s="12" t="inlineStr">
        <is>
          <t>Fuel supply (adjacent market)</t>
        </is>
      </c>
      <c r="D6105" s="12" t="inlineStr">
        <is>
          <t>Motor 1 of 1, 15 kW</t>
        </is>
      </c>
      <c r="E6105" s="12" t="inlineStr"/>
      <c r="F6105" s="12" t="inlineStr">
        <is>
          <t>H2 20: 13.8 kV e-house</t>
        </is>
      </c>
      <c r="G6105" s="12" t="inlineStr"/>
      <c r="H6105" s="12" t="inlineStr">
        <is>
          <t>H2 25: H2 dryer / purification</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0</v>
      </c>
      <c r="U6105" s="15" t="n">
        <v>49</v>
      </c>
      <c r="V6105" s="15">
        <f>ROUNDUP((T6105+U6105+2*'Read Me'!$B$13)*(1+'Read Me'!$B$12),-1)</f>
        <v/>
      </c>
      <c r="W6105" s="15">
        <f>V6105*N6105*O6105</f>
        <v/>
      </c>
      <c r="X6105" s="12">
        <f>IF(LEFT(I6105,2)="MV",2*N6105*IF(L6105="1/C",O6105,1),0)</f>
        <v/>
      </c>
      <c r="Y6105" s="12">
        <f>IF(OR(LEFT(K6105,4)="LVAX",LEFT(K6105,6)="MV15AX",LEFT(K6105,4)="CTAX",LEFT(K6105,2)="W|"),2*N6105*O6105,0)</f>
        <v/>
      </c>
      <c r="Z6105" s="12" t="inlineStr">
        <is>
          <t>VD 0.5 %</t>
        </is>
      </c>
      <c r="AA6105" s="12">
        <f>N6105*O6105</f>
        <v/>
      </c>
    </row>
    <row r="6106">
      <c r="A6106" s="12" t="inlineStr">
        <is>
          <t>K-P-0012</t>
        </is>
      </c>
      <c r="B6106" s="12" t="inlineStr">
        <is>
          <t>K</t>
        </is>
      </c>
      <c r="C6106" s="12" t="inlineStr">
        <is>
          <t>Fuel supply (adjacent market)</t>
        </is>
      </c>
      <c r="D6106" s="12" t="inlineStr">
        <is>
          <t>Motor 1 of 1, 15 kW</t>
        </is>
      </c>
      <c r="E6106" s="12" t="inlineStr"/>
      <c r="F6106" s="12" t="inlineStr">
        <is>
          <t>H2 20: 13.8 kV e-house</t>
        </is>
      </c>
      <c r="G6106" s="12" t="inlineStr"/>
      <c r="H6106" s="12" t="inlineStr">
        <is>
          <t>H2 26: H2 compressor 1 (40 ft ISO)</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50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0.8 %</t>
        </is>
      </c>
      <c r="AA6106" s="12">
        <f>N6106*O6106</f>
        <v/>
      </c>
    </row>
    <row r="6107">
      <c r="A6107" s="12" t="inlineStr">
        <is>
          <t>K-P-0013</t>
        </is>
      </c>
      <c r="B6107" s="12" t="inlineStr">
        <is>
          <t>K</t>
        </is>
      </c>
      <c r="C6107" s="12" t="inlineStr">
        <is>
          <t>Fuel supply (adjacent market)</t>
        </is>
      </c>
      <c r="D6107" s="12" t="inlineStr">
        <is>
          <t>Motor 1 of 1, 15 kW</t>
        </is>
      </c>
      <c r="E6107" s="12" t="inlineStr"/>
      <c r="F6107" s="12" t="inlineStr">
        <is>
          <t>H2 20: 13.8 kV e-house</t>
        </is>
      </c>
      <c r="G6107" s="12" t="inlineStr"/>
      <c r="H6107" s="12" t="inlineStr">
        <is>
          <t>H2 26: H2 compressor 2 (40 ft ISO)</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50</v>
      </c>
      <c r="U6107" s="15" t="n">
        <v>47</v>
      </c>
      <c r="V6107" s="15">
        <f>ROUNDUP((T6107+U6107+2*'Read Me'!$B$13)*(1+'Read Me'!$B$12),-1)</f>
        <v/>
      </c>
      <c r="W6107" s="15">
        <f>V6107*N6107*O6107</f>
        <v/>
      </c>
      <c r="X6107" s="12">
        <f>IF(LEFT(I6107,2)="MV",2*N6107*IF(L6107="1/C",O6107,1),0)</f>
        <v/>
      </c>
      <c r="Y6107" s="12">
        <f>IF(OR(LEFT(K6107,4)="LVAX",LEFT(K6107,6)="MV15AX",LEFT(K6107,4)="CTAX",LEFT(K6107,2)="W|"),2*N6107*O6107,0)</f>
        <v/>
      </c>
      <c r="Z6107" s="12" t="inlineStr">
        <is>
          <t>VD 1.0 %</t>
        </is>
      </c>
      <c r="AA6107" s="12">
        <f>N6107*O6107</f>
        <v/>
      </c>
    </row>
    <row r="6108">
      <c r="A6108" s="12" t="inlineStr">
        <is>
          <t>K-P-0014</t>
        </is>
      </c>
      <c r="B6108" s="12" t="inlineStr">
        <is>
          <t>K</t>
        </is>
      </c>
      <c r="C6108" s="12" t="inlineStr">
        <is>
          <t>Fuel supply (adjacent market)</t>
        </is>
      </c>
      <c r="D6108" s="12" t="inlineStr">
        <is>
          <t>Motor 1 of 1, 15 kW</t>
        </is>
      </c>
      <c r="E6108" s="12" t="inlineStr"/>
      <c r="F6108" s="12" t="inlineStr">
        <is>
          <t>H2 20: 13.8 kV e-house</t>
        </is>
      </c>
      <c r="G6108" s="12" t="inlineStr"/>
      <c r="H6108" s="12" t="inlineStr">
        <is>
          <t>H2 27: storage tube bank (~40 ft tubes)</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50</v>
      </c>
      <c r="U6108" s="15" t="n">
        <v>97</v>
      </c>
      <c r="V6108" s="15">
        <f>ROUNDUP((T6108+U6108+2*'Read Me'!$B$13)*(1+'Read Me'!$B$12),-1)</f>
        <v/>
      </c>
      <c r="W6108" s="15">
        <f>V6108*N6108*O6108</f>
        <v/>
      </c>
      <c r="X6108" s="12">
        <f>IF(LEFT(I6108,2)="MV",2*N6108*IF(L6108="1/C",O6108,1),0)</f>
        <v/>
      </c>
      <c r="Y6108" s="12">
        <f>IF(OR(LEFT(K6108,4)="LVAX",LEFT(K6108,6)="MV15AX",LEFT(K6108,4)="CTAX",LEFT(K6108,2)="W|"),2*N6108*O6108,0)</f>
        <v/>
      </c>
      <c r="Z6108" s="12" t="inlineStr">
        <is>
          <t>VD 1.5 %</t>
        </is>
      </c>
      <c r="AA6108" s="12">
        <f>N6108*O6108</f>
        <v/>
      </c>
    </row>
    <row r="6109">
      <c r="A6109" s="12" t="inlineStr">
        <is>
          <t>K-P-0015</t>
        </is>
      </c>
      <c r="B6109" s="12" t="inlineStr">
        <is>
          <t>K</t>
        </is>
      </c>
      <c r="C6109" s="12" t="inlineStr">
        <is>
          <t>Fuel supply (adjacent market)</t>
        </is>
      </c>
      <c r="D6109" s="12" t="inlineStr">
        <is>
          <t>Motor 1 of 1, 15 kW</t>
        </is>
      </c>
      <c r="E6109" s="12" t="inlineStr"/>
      <c r="F6109" s="12" t="inlineStr">
        <is>
          <t>H2 20: 13.8 kV e-house</t>
        </is>
      </c>
      <c r="G6109" s="12" t="inlineStr"/>
      <c r="H6109" s="12" t="inlineStr">
        <is>
          <t>H2 27: storage tube bank (~40 ft tubes)</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Duct bank</t>
        </is>
      </c>
      <c r="T6109" s="15" t="n">
        <v>50</v>
      </c>
      <c r="U6109" s="15" t="n">
        <v>117</v>
      </c>
      <c r="V6109" s="15">
        <f>ROUNDUP((T6109+U6109+2*'Read Me'!$B$13)*(1+'Read Me'!$B$12),-1)</f>
        <v/>
      </c>
      <c r="W6109" s="15">
        <f>V6109*N6109*O6109</f>
        <v/>
      </c>
      <c r="X6109" s="12">
        <f>IF(LEFT(I6109,2)="MV",2*N6109*IF(L6109="1/C",O6109,1),0)</f>
        <v/>
      </c>
      <c r="Y6109" s="12">
        <f>IF(OR(LEFT(K6109,4)="LVAX",LEFT(K6109,6)="MV15AX",LEFT(K6109,4)="CTAX",LEFT(K6109,2)="W|"),2*N6109*O6109,0)</f>
        <v/>
      </c>
      <c r="Z6109" s="12" t="inlineStr">
        <is>
          <t>VD 1.7 %</t>
        </is>
      </c>
      <c r="AA6109" s="12">
        <f>N6109*O6109</f>
        <v/>
      </c>
    </row>
    <row r="6110">
      <c r="A6110" s="12" t="inlineStr">
        <is>
          <t>K-P-0016</t>
        </is>
      </c>
      <c r="B6110" s="12" t="inlineStr">
        <is>
          <t>K</t>
        </is>
      </c>
      <c r="C6110" s="12" t="inlineStr">
        <is>
          <t>Fuel supply (adjacent market)</t>
        </is>
      </c>
      <c r="D6110" s="12" t="inlineStr">
        <is>
          <t>Motor 1 of 1, 15 kW</t>
        </is>
      </c>
      <c r="E6110" s="12" t="inlineStr"/>
      <c r="F6110" s="12" t="inlineStr">
        <is>
          <t>H2 20: 13.8 kV e-house</t>
        </is>
      </c>
      <c r="G6110" s="12" t="inlineStr"/>
      <c r="H6110" s="12" t="inlineStr">
        <is>
          <t>H2 27: storage tube bank (~40 ft tubes)</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50</v>
      </c>
      <c r="U6110" s="15" t="n">
        <v>97</v>
      </c>
      <c r="V6110" s="15">
        <f>ROUNDUP((T6110+U6110+2*'Read Me'!$B$13)*(1+'Read Me'!$B$12),-1)</f>
        <v/>
      </c>
      <c r="W6110" s="15">
        <f>V6110*N6110*O6110</f>
        <v/>
      </c>
      <c r="X6110" s="12">
        <f>IF(LEFT(I6110,2)="MV",2*N6110*IF(L6110="1/C",O6110,1),0)</f>
        <v/>
      </c>
      <c r="Y6110" s="12">
        <f>IF(OR(LEFT(K6110,4)="LVAX",LEFT(K6110,6)="MV15AX",LEFT(K6110,4)="CTAX",LEFT(K6110,2)="W|"),2*N6110*O6110,0)</f>
        <v/>
      </c>
      <c r="Z6110" s="12" t="inlineStr">
        <is>
          <t>VD 1.5 %</t>
        </is>
      </c>
      <c r="AA6110" s="12">
        <f>N6110*O6110</f>
        <v/>
      </c>
    </row>
    <row r="6111">
      <c r="A6111" s="12" t="inlineStr">
        <is>
          <t>K-P-0017</t>
        </is>
      </c>
      <c r="B6111" s="12" t="inlineStr">
        <is>
          <t>K</t>
        </is>
      </c>
      <c r="C6111" s="12" t="inlineStr">
        <is>
          <t>Fuel supply (adjacent market)</t>
        </is>
      </c>
      <c r="D6111" s="12" t="inlineStr">
        <is>
          <t>Motor 1 of 1, 15 kW</t>
        </is>
      </c>
      <c r="E6111" s="12" t="inlineStr"/>
      <c r="F6111" s="12" t="inlineStr">
        <is>
          <t>H2 20: 13.8 kV e-house</t>
        </is>
      </c>
      <c r="G6111" s="12" t="inlineStr"/>
      <c r="H6111" s="12" t="inlineStr">
        <is>
          <t>H2 27: storage tube bank (~40 ft tubes)</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5" t="n">
        <v>50</v>
      </c>
      <c r="U6111" s="15" t="n">
        <v>117</v>
      </c>
      <c r="V6111" s="15">
        <f>ROUNDUP((T6111+U6111+2*'Read Me'!$B$13)*(1+'Read Me'!$B$12),-1)</f>
        <v/>
      </c>
      <c r="W6111" s="15">
        <f>V6111*N6111*O6111</f>
        <v/>
      </c>
      <c r="X6111" s="12">
        <f>IF(LEFT(I6111,2)="MV",2*N6111*IF(L6111="1/C",O6111,1),0)</f>
        <v/>
      </c>
      <c r="Y6111" s="12">
        <f>IF(OR(LEFT(K6111,4)="LVAX",LEFT(K6111,6)="MV15AX",LEFT(K6111,4)="CTAX",LEFT(K6111,2)="W|"),2*N6111*O6111,0)</f>
        <v/>
      </c>
      <c r="Z6111" s="12" t="inlineStr">
        <is>
          <t>VD 1.7 %</t>
        </is>
      </c>
      <c r="AA6111" s="12">
        <f>N6111*O6111</f>
        <v/>
      </c>
    </row>
    <row r="6112">
      <c r="A6112" s="12" t="inlineStr">
        <is>
          <t>K-P-0018</t>
        </is>
      </c>
      <c r="B6112" s="12" t="inlineStr">
        <is>
          <t>K</t>
        </is>
      </c>
      <c r="C6112" s="12" t="inlineStr">
        <is>
          <t>Fuel supply (adjacent market)</t>
        </is>
      </c>
      <c r="D6112" s="12" t="inlineStr">
        <is>
          <t>Motor 1 of 1, 15 kW</t>
        </is>
      </c>
      <c r="E6112" s="12" t="inlineStr"/>
      <c r="F6112" s="12" t="inlineStr">
        <is>
          <t>H2 20: 13.8 kV e-house</t>
        </is>
      </c>
      <c r="G6112" s="12" t="inlineStr"/>
      <c r="H6112" s="12" t="inlineStr">
        <is>
          <t>H2 28: N2 purge supply</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53</v>
      </c>
      <c r="U6112" s="15" t="n">
        <v>36</v>
      </c>
      <c r="V6112" s="15">
        <f>ROUNDUP((T6112+U6112+2*'Read Me'!$B$13)*(1+'Read Me'!$B$12),-1)</f>
        <v/>
      </c>
      <c r="W6112" s="15">
        <f>V6112*N6112*O6112</f>
        <v/>
      </c>
      <c r="X6112" s="12">
        <f>IF(LEFT(I6112,2)="MV",2*N6112*IF(L6112="1/C",O6112,1),0)</f>
        <v/>
      </c>
      <c r="Y6112" s="12">
        <f>IF(OR(LEFT(K6112,4)="LVAX",LEFT(K6112,6)="MV15AX",LEFT(K6112,4)="CTAX",LEFT(K6112,2)="W|"),2*N6112*O6112,0)</f>
        <v/>
      </c>
      <c r="Z6112" s="12" t="inlineStr">
        <is>
          <t>VD 0.9 %</t>
        </is>
      </c>
      <c r="AA6112" s="12">
        <f>N6112*O6112</f>
        <v/>
      </c>
    </row>
    <row r="6113">
      <c r="A6113" s="12" t="inlineStr">
        <is>
          <t>K-P-0019</t>
        </is>
      </c>
      <c r="B6113" s="12" t="inlineStr">
        <is>
          <t>K</t>
        </is>
      </c>
      <c r="C6113" s="12" t="inlineStr">
        <is>
          <t>Fuel supply (adjacent market)</t>
        </is>
      </c>
      <c r="D6113" s="12" t="inlineStr">
        <is>
          <t>Motor 1 of 1, 15 kW</t>
        </is>
      </c>
      <c r="E6113" s="12" t="inlineStr"/>
      <c r="F6113" s="12" t="inlineStr">
        <is>
          <t>H2 20: 13.8 kV e-house</t>
        </is>
      </c>
      <c r="G6113" s="12" t="inlineStr"/>
      <c r="H6113" s="12" t="inlineStr">
        <is>
          <t>H2 29: vent stack</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55</v>
      </c>
      <c r="U6113" s="15" t="n">
        <v>205</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K-P-0020</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H2 30: H2 / gas blending station (plant gas yard)</t>
        </is>
      </c>
      <c r="I6114" s="12" t="inlineStr">
        <is>
          <t>LV 600 V</t>
        </is>
      </c>
      <c r="J6114" s="12" t="inlineStr">
        <is>
          <t>ARMOR-X MC-HL 600 V 3/C Cu XHHW-2 + ground, CWA, black PVC (Class I Div 2)</t>
        </is>
      </c>
      <c r="K6114" s="12" t="inlineStr">
        <is>
          <t>LVAX|3/C+G|4</t>
        </is>
      </c>
      <c r="L6114" s="12" t="inlineStr">
        <is>
          <t>3/C+G</t>
        </is>
      </c>
      <c r="M6114" s="12" t="inlineStr">
        <is>
          <t>4</t>
        </is>
      </c>
      <c r="N6114" s="12" t="n">
        <v>1</v>
      </c>
      <c r="O6114" s="12" t="n">
        <v>1</v>
      </c>
      <c r="P6114" s="12" t="n">
        <v>480</v>
      </c>
      <c r="Q6114" s="12" t="n">
        <v>15</v>
      </c>
      <c r="R6114" s="12" t="n">
        <v>21.2</v>
      </c>
      <c r="S6114" s="12" t="inlineStr">
        <is>
          <t>Duct bank</t>
        </is>
      </c>
      <c r="T6114" s="15" t="n">
        <v>994</v>
      </c>
      <c r="U6114" s="15" t="n">
        <v>114</v>
      </c>
      <c r="V6114" s="15">
        <f>ROUNDUP((T6114+U6114+2*'Read Me'!$B$13)*(1+'Read Me'!$B$12),-1)</f>
        <v/>
      </c>
      <c r="W6114" s="15">
        <f>V6114*N6114*O6114</f>
        <v/>
      </c>
      <c r="X6114" s="12">
        <f>IF(LEFT(I6114,2)="MV",2*N6114*IF(L6114="1/C",O6114,1),0)</f>
        <v/>
      </c>
      <c r="Y6114" s="12">
        <f>IF(OR(LEFT(K6114,4)="LVAX",LEFT(K6114,6)="MV15AX",LEFT(K6114,4)="CTAX",LEFT(K6114,2)="W|"),2*N6114*O6114,0)</f>
        <v/>
      </c>
      <c r="Z6114" s="12" t="inlineStr">
        <is>
          <t>VD 2.9 %</t>
        </is>
      </c>
      <c r="AA6114" s="12">
        <f>N6114*O6114</f>
        <v/>
      </c>
    </row>
    <row r="6115">
      <c r="A6115" s="12" t="inlineStr">
        <is>
          <t>K-P-0021</t>
        </is>
      </c>
      <c r="B6115" s="12" t="inlineStr">
        <is>
          <t>K</t>
        </is>
      </c>
      <c r="C6115" s="12" t="inlineStr">
        <is>
          <t>Fuel supply (adjacent market)</t>
        </is>
      </c>
      <c r="D6115" s="12" t="inlineStr">
        <is>
          <t>Motor 1 of 2, 250 kW</t>
        </is>
      </c>
      <c r="E6115" s="12" t="inlineStr"/>
      <c r="F6115" s="12" t="inlineStr">
        <is>
          <t>H2 20: 13.8 kV e-house</t>
        </is>
      </c>
      <c r="G6115" s="12" t="inlineStr"/>
      <c r="H6115" s="12" t="inlineStr">
        <is>
          <t>H2 pipe track and cable trench, hall -&gt; dryer / compressors (N2, instr</t>
        </is>
      </c>
      <c r="I6115" s="12" t="inlineStr">
        <is>
          <t>LV 600 V</t>
        </is>
      </c>
      <c r="J6115" s="12" t="inlineStr">
        <is>
          <t>ARMOR-X MC-HL 600 V 3/C Cu XHHW-2 + ground, CWA, black PVC (Class I Div 2)</t>
        </is>
      </c>
      <c r="K6115" s="12" t="inlineStr">
        <is>
          <t>LVAX|3/C+G|4/0</t>
        </is>
      </c>
      <c r="L6115" s="12" t="inlineStr">
        <is>
          <t>3/C+G</t>
        </is>
      </c>
      <c r="M6115" s="12" t="inlineStr">
        <is>
          <t>4/0</t>
        </is>
      </c>
      <c r="N6115" s="12" t="n">
        <v>2</v>
      </c>
      <c r="O6115" s="12" t="n">
        <v>1</v>
      </c>
      <c r="P6115" s="12" t="n">
        <v>480</v>
      </c>
      <c r="Q6115" s="12" t="n">
        <v>250</v>
      </c>
      <c r="R6115" s="12" t="n">
        <v>353.8</v>
      </c>
      <c r="S6115" s="12" t="inlineStr">
        <is>
          <t>Duct bank</t>
        </is>
      </c>
      <c r="T6115" s="15" t="n">
        <v>53</v>
      </c>
      <c r="U6115" s="15" t="n">
        <v>62</v>
      </c>
      <c r="V6115" s="15">
        <f>ROUNDUP((T6115+U6115+2*'Read Me'!$B$13)*(1+'Read Me'!$B$12),-1)</f>
        <v/>
      </c>
      <c r="W6115" s="15">
        <f>V6115*N6115*O6115</f>
        <v/>
      </c>
      <c r="X6115" s="12">
        <f>IF(LEFT(I6115,2)="MV",2*N6115*IF(L6115="1/C",O6115,1),0)</f>
        <v/>
      </c>
      <c r="Y6115" s="12">
        <f>IF(OR(LEFT(K6115,4)="LVAX",LEFT(K6115,6)="MV15AX",LEFT(K6115,4)="CTAX",LEFT(K6115,2)="W|"),2*N6115*O6115,0)</f>
        <v/>
      </c>
      <c r="Z6115" s="12" t="inlineStr">
        <is>
          <t>VD 0.5 %</t>
        </is>
      </c>
      <c r="AA6115" s="12">
        <f>N6115*O6115</f>
        <v/>
      </c>
    </row>
    <row r="6116">
      <c r="A6116" s="12" t="inlineStr">
        <is>
          <t>K-P-0022</t>
        </is>
      </c>
      <c r="B6116" s="12" t="inlineStr">
        <is>
          <t>K</t>
        </is>
      </c>
      <c r="C6116" s="12" t="inlineStr">
        <is>
          <t>Fuel supply (adjacent market)</t>
        </is>
      </c>
      <c r="D6116" s="12" t="inlineStr">
        <is>
          <t>Motor 2 of 2, 250 kW</t>
        </is>
      </c>
      <c r="E6116" s="12" t="inlineStr"/>
      <c r="F6116" s="12" t="inlineStr">
        <is>
          <t>H2 20: 13.8 kV e-house</t>
        </is>
      </c>
      <c r="G6116" s="12" t="inlineStr"/>
      <c r="H6116" s="12" t="inlineStr">
        <is>
          <t>H2 pipe track and cable trench, hall -&gt; dryer / compressors (N2, instr</t>
        </is>
      </c>
      <c r="I6116" s="12" t="inlineStr">
        <is>
          <t>LV 600 V</t>
        </is>
      </c>
      <c r="J6116" s="12" t="inlineStr">
        <is>
          <t>ARMOR-X MC-HL 600 V 3/C Cu XHHW-2 + ground, CWA, black PVC (Class I Div 2)</t>
        </is>
      </c>
      <c r="K6116" s="12" t="inlineStr">
        <is>
          <t>LVAX|3/C+G|4/0</t>
        </is>
      </c>
      <c r="L6116" s="12" t="inlineStr">
        <is>
          <t>3/C+G</t>
        </is>
      </c>
      <c r="M6116" s="12" t="inlineStr">
        <is>
          <t>4/0</t>
        </is>
      </c>
      <c r="N6116" s="12" t="n">
        <v>2</v>
      </c>
      <c r="O6116" s="12" t="n">
        <v>1</v>
      </c>
      <c r="P6116" s="12" t="n">
        <v>480</v>
      </c>
      <c r="Q6116" s="12" t="n">
        <v>250</v>
      </c>
      <c r="R6116" s="12" t="n">
        <v>353.8</v>
      </c>
      <c r="S6116" s="12" t="inlineStr">
        <is>
          <t>Duct bank</t>
        </is>
      </c>
      <c r="T6116" s="15" t="n">
        <v>53</v>
      </c>
      <c r="U6116" s="15" t="n">
        <v>62</v>
      </c>
      <c r="V6116" s="15">
        <f>ROUNDUP((T6116+U6116+2*'Read Me'!$B$13)*(1+'Read Me'!$B$12),-1)</f>
        <v/>
      </c>
      <c r="W6116" s="15">
        <f>V6116*N6116*O6116</f>
        <v/>
      </c>
      <c r="X6116" s="12">
        <f>IF(LEFT(I6116,2)="MV",2*N6116*IF(L6116="1/C",O6116,1),0)</f>
        <v/>
      </c>
      <c r="Y6116" s="12">
        <f>IF(OR(LEFT(K6116,4)="LVAX",LEFT(K6116,6)="MV15AX",LEFT(K6116,4)="CTAX",LEFT(K6116,2)="W|"),2*N6116*O6116,0)</f>
        <v/>
      </c>
      <c r="Z6116" s="12" t="inlineStr">
        <is>
          <t>VD 0.5 %</t>
        </is>
      </c>
      <c r="AA6116" s="12">
        <f>N6116*O6116</f>
        <v/>
      </c>
    </row>
    <row r="6117">
      <c r="A6117" s="12" t="inlineStr">
        <is>
          <t>K-P-0023</t>
        </is>
      </c>
      <c r="B6117" s="12" t="inlineStr">
        <is>
          <t>K</t>
        </is>
      </c>
      <c r="C6117" s="12" t="inlineStr">
        <is>
          <t>Fuel supply (adjacent market)</t>
        </is>
      </c>
      <c r="D6117" s="12" t="inlineStr">
        <is>
          <t>LV power feeder</t>
        </is>
      </c>
      <c r="E6117" s="12" t="inlineStr"/>
      <c r="F6117" s="12" t="inlineStr">
        <is>
          <t>H2 20: 13.8 kV e-house</t>
        </is>
      </c>
      <c r="G6117" s="12" t="inlineStr">
        <is>
          <t>H2-ST</t>
        </is>
      </c>
      <c r="H6117" s="12" t="inlineStr">
        <is>
          <t>H2 storage tube banks x4</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50</v>
      </c>
      <c r="U6117" s="15" t="n">
        <v>92</v>
      </c>
      <c r="V6117" s="15">
        <f>ROUNDUP((T6117+U6117+2*'Read Me'!$B$13)*(1+'Read Me'!$B$12),-1)</f>
        <v/>
      </c>
      <c r="W6117" s="15">
        <f>V6117*N6117*O6117</f>
        <v/>
      </c>
      <c r="X6117" s="12">
        <f>IF(LEFT(I6117,2)="MV",2*N6117*IF(L6117="1/C",O6117,1),0)</f>
        <v/>
      </c>
      <c r="Y6117" s="12">
        <f>IF(OR(LEFT(K6117,4)="LVAX",LEFT(K6117,6)="MV15AX",LEFT(K6117,4)="CTAX",LEFT(K6117,2)="W|"),2*N6117*O6117,0)</f>
        <v/>
      </c>
      <c r="Z6117" s="12" t="inlineStr">
        <is>
          <t>VD 1.4 %</t>
        </is>
      </c>
      <c r="AA6117" s="12">
        <f>N6117*O6117</f>
        <v/>
      </c>
    </row>
    <row r="6118">
      <c r="A6118" s="12" t="inlineStr">
        <is>
          <t>K-P-0024</t>
        </is>
      </c>
      <c r="B6118" s="12" t="inlineStr">
        <is>
          <t>K</t>
        </is>
      </c>
      <c r="C6118" s="12" t="inlineStr">
        <is>
          <t>Fuel supply (adjacent market)</t>
        </is>
      </c>
      <c r="D6118" s="12" t="inlineStr">
        <is>
          <t>LV power feeder</t>
        </is>
      </c>
      <c r="E6118" s="12" t="inlineStr"/>
      <c r="F6118" s="12" t="inlineStr">
        <is>
          <t>H2 20: 13.8 kV e-house</t>
        </is>
      </c>
      <c r="G6118" s="12" t="inlineStr">
        <is>
          <t>H2R</t>
        </is>
      </c>
      <c r="H6118" s="12" t="inlineStr">
        <is>
          <t>H2R: hydrogen pipeline receiving station (pig receiver, filters, meter</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Duct bank</t>
        </is>
      </c>
      <c r="T6118" s="15" t="n">
        <v>40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0.7 %</t>
        </is>
      </c>
      <c r="AA6118" s="12">
        <f>N6118*O6118</f>
        <v/>
      </c>
    </row>
    <row r="6119">
      <c r="A6119" s="12" t="inlineStr">
        <is>
          <t>K-P-0025</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10: truck unloading bay 1</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15</v>
      </c>
      <c r="R6119" s="12" t="n">
        <v>21.2</v>
      </c>
      <c r="S6119" s="12" t="inlineStr">
        <is>
          <t>Duct bank</t>
        </is>
      </c>
      <c r="T6119" s="15" t="n">
        <v>237</v>
      </c>
      <c r="U6119" s="15" t="n">
        <v>61</v>
      </c>
      <c r="V6119" s="15">
        <f>ROUNDUP((T6119+U6119+2*'Read Me'!$B$13)*(1+'Read Me'!$B$12),-1)</f>
        <v/>
      </c>
      <c r="W6119" s="15">
        <f>V6119*N6119*O6119</f>
        <v/>
      </c>
      <c r="X6119" s="12">
        <f>IF(LEFT(I6119,2)="MV",2*N6119*IF(L6119="1/C",O6119,1),0)</f>
        <v/>
      </c>
      <c r="Y6119" s="12">
        <f>IF(OR(LEFT(K6119,4)="LVAX",LEFT(K6119,6)="MV15AX",LEFT(K6119,4)="CTAX",LEFT(K6119,2)="W|"),2*N6119*O6119,0)</f>
        <v/>
      </c>
      <c r="Z6119" s="12" t="inlineStr">
        <is>
          <t>VD 1.9 %</t>
        </is>
      </c>
      <c r="AA6119" s="12">
        <f>N6119*O6119</f>
        <v/>
      </c>
    </row>
    <row r="6120">
      <c r="A6120" s="12" t="inlineStr">
        <is>
          <t>K-P-0026</t>
        </is>
      </c>
      <c r="B6120" s="12" t="inlineStr">
        <is>
          <t>K</t>
        </is>
      </c>
      <c r="C6120" s="12" t="inlineStr">
        <is>
          <t>Fuel supply (adjacent market)</t>
        </is>
      </c>
      <c r="D6120" s="12" t="inlineStr">
        <is>
          <t>Motor 1 of 1, 15 kW</t>
        </is>
      </c>
      <c r="E6120" s="12" t="inlineStr"/>
      <c r="F6120" s="12" t="inlineStr">
        <is>
          <t>LNG 17: LNG e-house (13.8 kV / 480 V)</t>
        </is>
      </c>
      <c r="G6120" s="12" t="inlineStr"/>
      <c r="H6120" s="12" t="inlineStr">
        <is>
          <t>LNG 10: truck unloading bay 2</t>
        </is>
      </c>
      <c r="I6120" s="12" t="inlineStr">
        <is>
          <t>LV 600 V</t>
        </is>
      </c>
      <c r="J6120" s="12" t="inlineStr">
        <is>
          <t>ARMOR-X MC-HL 600 V 3/C Cu XHHW-2 + ground, CWA, black PVC (Class I Div 2)</t>
        </is>
      </c>
      <c r="K6120" s="12" t="inlineStr">
        <is>
          <t>LVAX|3/C+G|10</t>
        </is>
      </c>
      <c r="L6120" s="12" t="inlineStr">
        <is>
          <t>3/C+G</t>
        </is>
      </c>
      <c r="M6120" s="12" t="inlineStr">
        <is>
          <t>10</t>
        </is>
      </c>
      <c r="N6120" s="12" t="n">
        <v>1</v>
      </c>
      <c r="O6120" s="12" t="n">
        <v>1</v>
      </c>
      <c r="P6120" s="12" t="n">
        <v>480</v>
      </c>
      <c r="Q6120" s="12" t="n">
        <v>15</v>
      </c>
      <c r="R6120" s="12" t="n">
        <v>21.2</v>
      </c>
      <c r="S6120" s="12" t="inlineStr">
        <is>
          <t>Duct bank</t>
        </is>
      </c>
      <c r="T6120" s="15" t="n">
        <v>147</v>
      </c>
      <c r="U6120" s="15" t="n">
        <v>66</v>
      </c>
      <c r="V6120" s="15">
        <f>ROUNDUP((T6120+U6120+2*'Read Me'!$B$13)*(1+'Read Me'!$B$12),-1)</f>
        <v/>
      </c>
      <c r="W6120" s="15">
        <f>V6120*N6120*O6120</f>
        <v/>
      </c>
      <c r="X6120" s="12">
        <f>IF(LEFT(I6120,2)="MV",2*N6120*IF(L6120="1/C",O6120,1),0)</f>
        <v/>
      </c>
      <c r="Y6120" s="12">
        <f>IF(OR(LEFT(K6120,4)="LVAX",LEFT(K6120,6)="MV15AX",LEFT(K6120,4)="CTAX",LEFT(K6120,2)="W|"),2*N6120*O6120,0)</f>
        <v/>
      </c>
      <c r="Z6120" s="12" t="inlineStr">
        <is>
          <t>VD 2.2 %</t>
        </is>
      </c>
      <c r="AA6120" s="12">
        <f>N6120*O6120</f>
        <v/>
      </c>
    </row>
    <row r="6121">
      <c r="A6121" s="12" t="inlineStr">
        <is>
          <t>K-P-0027</t>
        </is>
      </c>
      <c r="B6121" s="12" t="inlineStr">
        <is>
          <t>K</t>
        </is>
      </c>
      <c r="C6121" s="12" t="inlineStr">
        <is>
          <t>Fuel supply (adjacent market)</t>
        </is>
      </c>
      <c r="D6121" s="12" t="inlineStr">
        <is>
          <t>Motor 1 of 1, 15 kW</t>
        </is>
      </c>
      <c r="E6121" s="12" t="inlineStr"/>
      <c r="F6121" s="12" t="inlineStr">
        <is>
          <t>LNG 17: LNG e-house (13.8 kV / 480 V)</t>
        </is>
      </c>
      <c r="G6121" s="12" t="inlineStr"/>
      <c r="H6121" s="12" t="inlineStr">
        <is>
          <t>LNG 10: unloading skid</t>
        </is>
      </c>
      <c r="I6121" s="12" t="inlineStr">
        <is>
          <t>LV 600 V</t>
        </is>
      </c>
      <c r="J6121" s="12" t="inlineStr">
        <is>
          <t>ARMOR-X MC-HL 600 V 3/C Cu XHHW-2 + ground, CWA, black PVC (Class I Div 2)</t>
        </is>
      </c>
      <c r="K6121" s="12" t="inlineStr">
        <is>
          <t>LVAX|3/C+G|10</t>
        </is>
      </c>
      <c r="L6121" s="12" t="inlineStr">
        <is>
          <t>3/C+G</t>
        </is>
      </c>
      <c r="M6121" s="12" t="inlineStr">
        <is>
          <t>10</t>
        </is>
      </c>
      <c r="N6121" s="12" t="n">
        <v>1</v>
      </c>
      <c r="O6121" s="12" t="n">
        <v>1</v>
      </c>
      <c r="P6121" s="12" t="n">
        <v>480</v>
      </c>
      <c r="Q6121" s="12" t="n">
        <v>15</v>
      </c>
      <c r="R6121" s="12" t="n">
        <v>21.2</v>
      </c>
      <c r="S6121" s="12" t="inlineStr">
        <is>
          <t>Duct bank</t>
        </is>
      </c>
      <c r="T6121" s="15" t="n">
        <v>237</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2.7 %</t>
        </is>
      </c>
      <c r="AA6121" s="12">
        <f>N6121*O6121</f>
        <v/>
      </c>
    </row>
    <row r="6122">
      <c r="A6122" s="12" t="inlineStr">
        <is>
          <t>K-P-0028</t>
        </is>
      </c>
      <c r="B6122" s="12" t="inlineStr">
        <is>
          <t>K</t>
        </is>
      </c>
      <c r="C6122" s="12" t="inlineStr">
        <is>
          <t>Fuel supply (adjacent market)</t>
        </is>
      </c>
      <c r="D6122" s="12" t="inlineStr">
        <is>
          <t>LV power feeder</t>
        </is>
      </c>
      <c r="E6122" s="12" t="inlineStr"/>
      <c r="F6122" s="12" t="inlineStr">
        <is>
          <t>LNG 17: LNG e-house (13.8 kV / 480 V)</t>
        </is>
      </c>
      <c r="G6122" s="12" t="inlineStr">
        <is>
          <t>LNG-T1</t>
        </is>
      </c>
      <c r="H6122" s="12" t="inlineStr">
        <is>
          <t>LNG 11: tank 1, 51,780 gal horizontal vacuum-insulated</t>
        </is>
      </c>
      <c r="I6122" s="12" t="inlineStr">
        <is>
          <t>LV 600 V</t>
        </is>
      </c>
      <c r="J6122" s="12" t="inlineStr">
        <is>
          <t>ARMOR-X MC-HL 600 V 3/C Cu XHHW-2 + ground, CWA, black PVC (Class I Div 2)</t>
        </is>
      </c>
      <c r="K6122" s="12" t="inlineStr">
        <is>
          <t>LVAX|3/C+G|10</t>
        </is>
      </c>
      <c r="L6122" s="12" t="inlineStr">
        <is>
          <t>3/C+G</t>
        </is>
      </c>
      <c r="M6122" s="12" t="inlineStr">
        <is>
          <t>10</t>
        </is>
      </c>
      <c r="N6122" s="12" t="n">
        <v>1</v>
      </c>
      <c r="O6122" s="12" t="n">
        <v>1</v>
      </c>
      <c r="P6122" s="12" t="n">
        <v>480</v>
      </c>
      <c r="Q6122" s="12" t="n">
        <v>10</v>
      </c>
      <c r="R6122" s="12" t="n">
        <v>14.2</v>
      </c>
      <c r="S6122" s="12" t="inlineStr">
        <is>
          <t>Duct bank</t>
        </is>
      </c>
      <c r="T6122" s="15" t="n">
        <v>210</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1.6 %</t>
        </is>
      </c>
      <c r="AA6122" s="12">
        <f>N6122*O6122</f>
        <v/>
      </c>
    </row>
    <row r="6123">
      <c r="A6123" s="12" t="inlineStr">
        <is>
          <t>K-P-0029</t>
        </is>
      </c>
      <c r="B6123" s="12" t="inlineStr">
        <is>
          <t>K</t>
        </is>
      </c>
      <c r="C6123" s="12" t="inlineStr">
        <is>
          <t>Fuel supply (adjacent market)</t>
        </is>
      </c>
      <c r="D6123" s="12" t="inlineStr">
        <is>
          <t>LV power feeder</t>
        </is>
      </c>
      <c r="E6123" s="12" t="inlineStr"/>
      <c r="F6123" s="12" t="inlineStr">
        <is>
          <t>LNG 17: LNG e-house (13.8 kV / 480 V)</t>
        </is>
      </c>
      <c r="G6123" s="12" t="inlineStr">
        <is>
          <t>LNG-T2</t>
        </is>
      </c>
      <c r="H6123" s="12" t="inlineStr">
        <is>
          <t>LNG 11: tank 2, 51,780 gal horizontal vacuum-insulated</t>
        </is>
      </c>
      <c r="I6123" s="12" t="inlineStr">
        <is>
          <t>LV 600 V</t>
        </is>
      </c>
      <c r="J6123" s="12" t="inlineStr">
        <is>
          <t>ARMOR-X MC-HL 600 V 3/C Cu XHHW-2 + ground, CWA, black PVC (Class I Div 2)</t>
        </is>
      </c>
      <c r="K6123" s="12" t="inlineStr">
        <is>
          <t>LVAX|3/C+G|10</t>
        </is>
      </c>
      <c r="L6123" s="12" t="inlineStr">
        <is>
          <t>3/C+G</t>
        </is>
      </c>
      <c r="M6123" s="12" t="inlineStr">
        <is>
          <t>10</t>
        </is>
      </c>
      <c r="N6123" s="12" t="n">
        <v>1</v>
      </c>
      <c r="O6123" s="12" t="n">
        <v>1</v>
      </c>
      <c r="P6123" s="12" t="n">
        <v>480</v>
      </c>
      <c r="Q6123" s="12" t="n">
        <v>10</v>
      </c>
      <c r="R6123" s="12" t="n">
        <v>14.2</v>
      </c>
      <c r="S6123" s="12" t="inlineStr">
        <is>
          <t>Duct bank</t>
        </is>
      </c>
      <c r="T6123" s="15" t="n">
        <v>230</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1.8 %</t>
        </is>
      </c>
      <c r="AA6123" s="12">
        <f>N6123*O6123</f>
        <v/>
      </c>
    </row>
    <row r="6124">
      <c r="A6124" s="12" t="inlineStr">
        <is>
          <t>K-P-0030</t>
        </is>
      </c>
      <c r="B6124" s="12" t="inlineStr">
        <is>
          <t>K</t>
        </is>
      </c>
      <c r="C6124" s="12" t="inlineStr">
        <is>
          <t>Fuel supply (adjacent market)</t>
        </is>
      </c>
      <c r="D6124" s="12" t="inlineStr">
        <is>
          <t>LV power feeder</t>
        </is>
      </c>
      <c r="E6124" s="12" t="inlineStr"/>
      <c r="F6124" s="12" t="inlineStr">
        <is>
          <t>LNG 17: LNG e-house (13.8 kV / 480 V)</t>
        </is>
      </c>
      <c r="G6124" s="12" t="inlineStr">
        <is>
          <t>LNG-T3</t>
        </is>
      </c>
      <c r="H6124" s="12" t="inlineStr">
        <is>
          <t>LNG 11: tank 3, 51,780 gal horizontal vacuum-insulated</t>
        </is>
      </c>
      <c r="I6124" s="12" t="inlineStr">
        <is>
          <t>LV 600 V</t>
        </is>
      </c>
      <c r="J6124" s="12" t="inlineStr">
        <is>
          <t>ARMOR-X MC-HL 600 V 3/C Cu XHHW-2 + ground, CWA, black PVC (Class I Div 2)</t>
        </is>
      </c>
      <c r="K6124" s="12" t="inlineStr">
        <is>
          <t>LVAX|3/C+G|10</t>
        </is>
      </c>
      <c r="L6124" s="12" t="inlineStr">
        <is>
          <t>3/C+G</t>
        </is>
      </c>
      <c r="M6124" s="12" t="inlineStr">
        <is>
          <t>10</t>
        </is>
      </c>
      <c r="N6124" s="12" t="n">
        <v>1</v>
      </c>
      <c r="O6124" s="12" t="n">
        <v>1</v>
      </c>
      <c r="P6124" s="12" t="n">
        <v>480</v>
      </c>
      <c r="Q6124" s="12" t="n">
        <v>10</v>
      </c>
      <c r="R6124" s="12" t="n">
        <v>14.2</v>
      </c>
      <c r="S6124" s="12" t="inlineStr">
        <is>
          <t>Duct bank</t>
        </is>
      </c>
      <c r="T6124" s="15" t="n">
        <v>250</v>
      </c>
      <c r="U6124" s="15" t="n">
        <v>32</v>
      </c>
      <c r="V6124" s="15">
        <f>ROUNDUP((T6124+U6124+2*'Read Me'!$B$13)*(1+'Read Me'!$B$12),-1)</f>
        <v/>
      </c>
      <c r="W6124" s="15">
        <f>V6124*N6124*O6124</f>
        <v/>
      </c>
      <c r="X6124" s="12">
        <f>IF(LEFT(I6124,2)="MV",2*N6124*IF(L6124="1/C",O6124,1),0)</f>
        <v/>
      </c>
      <c r="Y6124" s="12">
        <f>IF(OR(LEFT(K6124,4)="LVAX",LEFT(K6124,6)="MV15AX",LEFT(K6124,4)="CTAX",LEFT(K6124,2)="W|"),2*N6124*O6124,0)</f>
        <v/>
      </c>
      <c r="Z6124" s="12" t="inlineStr">
        <is>
          <t>VD 1.9 %</t>
        </is>
      </c>
      <c r="AA6124" s="12">
        <f>N6124*O6124</f>
        <v/>
      </c>
    </row>
    <row r="6125">
      <c r="A6125" s="12" t="inlineStr">
        <is>
          <t>K-P-0031</t>
        </is>
      </c>
      <c r="B6125" s="12" t="inlineStr">
        <is>
          <t>K</t>
        </is>
      </c>
      <c r="C6125" s="12" t="inlineStr">
        <is>
          <t>Fuel supply (adjacent market)</t>
        </is>
      </c>
      <c r="D6125" s="12" t="inlineStr">
        <is>
          <t>LV power feeder</t>
        </is>
      </c>
      <c r="E6125" s="12" t="inlineStr"/>
      <c r="F6125" s="12" t="inlineStr">
        <is>
          <t>LNG 17: LNG e-house (13.8 kV / 480 V)</t>
        </is>
      </c>
      <c r="G6125" s="12" t="inlineStr">
        <is>
          <t>LNG-T4</t>
        </is>
      </c>
      <c r="H6125" s="12" t="inlineStr">
        <is>
          <t>LNG 11: tank 4, 51,780 gal horizontal vacuum-insulated</t>
        </is>
      </c>
      <c r="I6125" s="12" t="inlineStr">
        <is>
          <t>LV 600 V</t>
        </is>
      </c>
      <c r="J6125" s="12" t="inlineStr">
        <is>
          <t>ARMOR-X MC-HL 600 V 3/C Cu XHHW-2 + ground, CWA, black PVC (Class I Div 2)</t>
        </is>
      </c>
      <c r="K6125" s="12" t="inlineStr">
        <is>
          <t>LVAX|3/C+G|10</t>
        </is>
      </c>
      <c r="L6125" s="12" t="inlineStr">
        <is>
          <t>3/C+G</t>
        </is>
      </c>
      <c r="M6125" s="12" t="inlineStr">
        <is>
          <t>10</t>
        </is>
      </c>
      <c r="N6125" s="12" t="n">
        <v>1</v>
      </c>
      <c r="O6125" s="12" t="n">
        <v>1</v>
      </c>
      <c r="P6125" s="12" t="n">
        <v>480</v>
      </c>
      <c r="Q6125" s="12" t="n">
        <v>10</v>
      </c>
      <c r="R6125" s="12" t="n">
        <v>14.2</v>
      </c>
      <c r="S6125" s="12" t="inlineStr">
        <is>
          <t>Duct bank</t>
        </is>
      </c>
      <c r="T6125" s="15" t="n">
        <v>270</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2.1 %</t>
        </is>
      </c>
      <c r="AA6125" s="12">
        <f>N6125*O6125</f>
        <v/>
      </c>
    </row>
    <row r="6126">
      <c r="A6126" s="12" t="inlineStr">
        <is>
          <t>K-P-0032</t>
        </is>
      </c>
      <c r="B6126" s="12" t="inlineStr">
        <is>
          <t>K</t>
        </is>
      </c>
      <c r="C6126" s="12" t="inlineStr">
        <is>
          <t>Fuel supply (adjacent market)</t>
        </is>
      </c>
      <c r="D6126" s="12" t="inlineStr">
        <is>
          <t>LV power feeder</t>
        </is>
      </c>
      <c r="E6126" s="12" t="inlineStr"/>
      <c r="F6126" s="12" t="inlineStr">
        <is>
          <t>LNG 17: LNG e-house (13.8 kV / 480 V)</t>
        </is>
      </c>
      <c r="G6126" s="12" t="inlineStr">
        <is>
          <t>LNG-T5</t>
        </is>
      </c>
      <c r="H6126" s="12" t="inlineStr">
        <is>
          <t>LNG 11: tank 5, 51,780 gal horizontal vacuum-insulated</t>
        </is>
      </c>
      <c r="I6126" s="12" t="inlineStr">
        <is>
          <t>LV 600 V</t>
        </is>
      </c>
      <c r="J6126" s="12" t="inlineStr">
        <is>
          <t>ARMOR-X MC-HL 600 V 3/C Cu XHHW-2 + ground, CWA, black PVC (Class I Div 2)</t>
        </is>
      </c>
      <c r="K6126" s="12" t="inlineStr">
        <is>
          <t>LVAX|3/C+G|10</t>
        </is>
      </c>
      <c r="L6126" s="12" t="inlineStr">
        <is>
          <t>3/C+G</t>
        </is>
      </c>
      <c r="M6126" s="12" t="inlineStr">
        <is>
          <t>10</t>
        </is>
      </c>
      <c r="N6126" s="12" t="n">
        <v>1</v>
      </c>
      <c r="O6126" s="12" t="n">
        <v>1</v>
      </c>
      <c r="P6126" s="12" t="n">
        <v>480</v>
      </c>
      <c r="Q6126" s="12" t="n">
        <v>10</v>
      </c>
      <c r="R6126" s="12" t="n">
        <v>14.2</v>
      </c>
      <c r="S6126" s="12" t="inlineStr">
        <is>
          <t>Duct bank</t>
        </is>
      </c>
      <c r="T6126" s="15" t="n">
        <v>290</v>
      </c>
      <c r="U6126" s="15" t="n">
        <v>32</v>
      </c>
      <c r="V6126" s="15">
        <f>ROUNDUP((T6126+U6126+2*'Read Me'!$B$13)*(1+'Read Me'!$B$12),-1)</f>
        <v/>
      </c>
      <c r="W6126" s="15">
        <f>V6126*N6126*O6126</f>
        <v/>
      </c>
      <c r="X6126" s="12">
        <f>IF(LEFT(I6126,2)="MV",2*N6126*IF(L6126="1/C",O6126,1),0)</f>
        <v/>
      </c>
      <c r="Y6126" s="12">
        <f>IF(OR(LEFT(K6126,4)="LVAX",LEFT(K6126,6)="MV15AX",LEFT(K6126,4)="CTAX",LEFT(K6126,2)="W|"),2*N6126*O6126,0)</f>
        <v/>
      </c>
      <c r="Z6126" s="12" t="inlineStr">
        <is>
          <t>VD 2.2 %</t>
        </is>
      </c>
      <c r="AA6126" s="12">
        <f>N6126*O6126</f>
        <v/>
      </c>
    </row>
    <row r="6127">
      <c r="A6127" s="12" t="inlineStr">
        <is>
          <t>K-P-0033</t>
        </is>
      </c>
      <c r="B6127" s="12" t="inlineStr">
        <is>
          <t>K</t>
        </is>
      </c>
      <c r="C6127" s="12" t="inlineStr">
        <is>
          <t>Fuel supply (adjacent market)</t>
        </is>
      </c>
      <c r="D6127" s="12" t="inlineStr">
        <is>
          <t>LV power feeder</t>
        </is>
      </c>
      <c r="E6127" s="12" t="inlineStr"/>
      <c r="F6127" s="12" t="inlineStr">
        <is>
          <t>LNG 17: LNG e-house (13.8 kV / 480 V)</t>
        </is>
      </c>
      <c r="G6127" s="12" t="inlineStr">
        <is>
          <t>LNG-T6</t>
        </is>
      </c>
      <c r="H6127" s="12" t="inlineStr">
        <is>
          <t>LNG 11: tank 6, 51,780 gal horizontal vacuum-insulated</t>
        </is>
      </c>
      <c r="I6127" s="12" t="inlineStr">
        <is>
          <t>LV 600 V</t>
        </is>
      </c>
      <c r="J6127" s="12" t="inlineStr">
        <is>
          <t>ARMOR-X MC-HL 600 V 3/C Cu XHHW-2 + ground, CWA, black PVC (Class I Div 2)</t>
        </is>
      </c>
      <c r="K6127" s="12" t="inlineStr">
        <is>
          <t>LVAX|3/C+G|10</t>
        </is>
      </c>
      <c r="L6127" s="12" t="inlineStr">
        <is>
          <t>3/C+G</t>
        </is>
      </c>
      <c r="M6127" s="12" t="inlineStr">
        <is>
          <t>10</t>
        </is>
      </c>
      <c r="N6127" s="12" t="n">
        <v>1</v>
      </c>
      <c r="O6127" s="12" t="n">
        <v>1</v>
      </c>
      <c r="P6127" s="12" t="n">
        <v>480</v>
      </c>
      <c r="Q6127" s="12" t="n">
        <v>10</v>
      </c>
      <c r="R6127" s="12" t="n">
        <v>14.2</v>
      </c>
      <c r="S6127" s="12" t="inlineStr">
        <is>
          <t>Duct bank</t>
        </is>
      </c>
      <c r="T6127" s="15" t="n">
        <v>310</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2.3 %</t>
        </is>
      </c>
      <c r="AA6127" s="12">
        <f>N6127*O6127</f>
        <v/>
      </c>
    </row>
    <row r="6128">
      <c r="A6128" s="12" t="inlineStr">
        <is>
          <t>K-P-0034</t>
        </is>
      </c>
      <c r="B6128" s="12" t="inlineStr">
        <is>
          <t>K</t>
        </is>
      </c>
      <c r="C6128" s="12" t="inlineStr">
        <is>
          <t>Fuel supply (adjacent market)</t>
        </is>
      </c>
      <c r="D6128" s="12" t="inlineStr">
        <is>
          <t>LV power feeder</t>
        </is>
      </c>
      <c r="E6128" s="12" t="inlineStr"/>
      <c r="F6128" s="12" t="inlineStr">
        <is>
          <t>LNG 17: LNG e-house (13.8 kV / 480 V)</t>
        </is>
      </c>
      <c r="G6128" s="12" t="inlineStr">
        <is>
          <t>LNG-T7</t>
        </is>
      </c>
      <c r="H6128" s="12" t="inlineStr">
        <is>
          <t>LNG 11: tank 7, 51,780 gal horizontal vacuum-insulated</t>
        </is>
      </c>
      <c r="I6128" s="12" t="inlineStr">
        <is>
          <t>LV 600 V</t>
        </is>
      </c>
      <c r="J6128" s="12" t="inlineStr">
        <is>
          <t>ARMOR-X MC-HL 600 V 3/C Cu XHHW-2 + ground, CWA, black PVC (Class I Div 2)</t>
        </is>
      </c>
      <c r="K6128" s="12" t="inlineStr">
        <is>
          <t>LVAX|3/C+G|10</t>
        </is>
      </c>
      <c r="L6128" s="12" t="inlineStr">
        <is>
          <t>3/C+G</t>
        </is>
      </c>
      <c r="M6128" s="12" t="inlineStr">
        <is>
          <t>10</t>
        </is>
      </c>
      <c r="N6128" s="12" t="n">
        <v>1</v>
      </c>
      <c r="O6128" s="12" t="n">
        <v>1</v>
      </c>
      <c r="P6128" s="12" t="n">
        <v>480</v>
      </c>
      <c r="Q6128" s="12" t="n">
        <v>10</v>
      </c>
      <c r="R6128" s="12" t="n">
        <v>14.2</v>
      </c>
      <c r="S6128" s="12" t="inlineStr">
        <is>
          <t>Duct bank</t>
        </is>
      </c>
      <c r="T6128" s="15" t="n">
        <v>330</v>
      </c>
      <c r="U6128" s="15" t="n">
        <v>32</v>
      </c>
      <c r="V6128" s="15">
        <f>ROUNDUP((T6128+U6128+2*'Read Me'!$B$13)*(1+'Read Me'!$B$12),-1)</f>
        <v/>
      </c>
      <c r="W6128" s="15">
        <f>V6128*N6128*O6128</f>
        <v/>
      </c>
      <c r="X6128" s="12">
        <f>IF(LEFT(I6128,2)="MV",2*N6128*IF(L6128="1/C",O6128,1),0)</f>
        <v/>
      </c>
      <c r="Y6128" s="12">
        <f>IF(OR(LEFT(K6128,4)="LVAX",LEFT(K6128,6)="MV15AX",LEFT(K6128,4)="CTAX",LEFT(K6128,2)="W|"),2*N6128*O6128,0)</f>
        <v/>
      </c>
      <c r="Z6128" s="12" t="inlineStr">
        <is>
          <t>VD 2.5 %</t>
        </is>
      </c>
      <c r="AA6128" s="12">
        <f>N6128*O6128</f>
        <v/>
      </c>
    </row>
    <row r="6129">
      <c r="A6129" s="12" t="inlineStr">
        <is>
          <t>K-P-0035</t>
        </is>
      </c>
      <c r="B6129" s="12" t="inlineStr">
        <is>
          <t>K</t>
        </is>
      </c>
      <c r="C6129" s="12" t="inlineStr">
        <is>
          <t>Fuel supply (adjacent market)</t>
        </is>
      </c>
      <c r="D6129" s="12" t="inlineStr">
        <is>
          <t>LV power feeder</t>
        </is>
      </c>
      <c r="E6129" s="12" t="inlineStr"/>
      <c r="F6129" s="12" t="inlineStr">
        <is>
          <t>LNG 17: LNG e-house (13.8 kV / 480 V)</t>
        </is>
      </c>
      <c r="G6129" s="12" t="inlineStr">
        <is>
          <t>LNG-T8</t>
        </is>
      </c>
      <c r="H6129" s="12" t="inlineStr">
        <is>
          <t>LNG 11: tank 8, 51,780 gal horizontal vacuum-insulated</t>
        </is>
      </c>
      <c r="I6129" s="12" t="inlineStr">
        <is>
          <t>LV 600 V</t>
        </is>
      </c>
      <c r="J6129" s="12" t="inlineStr">
        <is>
          <t>ARMOR-X MC-HL 600 V 3/C Cu XHHW-2 + ground, CWA, black PVC (Class I Div 2)</t>
        </is>
      </c>
      <c r="K6129" s="12" t="inlineStr">
        <is>
          <t>LVAX|3/C+G|10</t>
        </is>
      </c>
      <c r="L6129" s="12" t="inlineStr">
        <is>
          <t>3/C+G</t>
        </is>
      </c>
      <c r="M6129" s="12" t="inlineStr">
        <is>
          <t>10</t>
        </is>
      </c>
      <c r="N6129" s="12" t="n">
        <v>1</v>
      </c>
      <c r="O6129" s="12" t="n">
        <v>1</v>
      </c>
      <c r="P6129" s="12" t="n">
        <v>480</v>
      </c>
      <c r="Q6129" s="12" t="n">
        <v>10</v>
      </c>
      <c r="R6129" s="12" t="n">
        <v>14.2</v>
      </c>
      <c r="S6129" s="12" t="inlineStr">
        <is>
          <t>Duct bank</t>
        </is>
      </c>
      <c r="T6129" s="15" t="n">
        <v>350</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2.6 %</t>
        </is>
      </c>
      <c r="AA6129" s="12">
        <f>N6129*O6129</f>
        <v/>
      </c>
    </row>
    <row r="6130">
      <c r="A6130" s="12" t="inlineStr">
        <is>
          <t>K-P-0036</t>
        </is>
      </c>
      <c r="B6130" s="12" t="inlineStr">
        <is>
          <t>K</t>
        </is>
      </c>
      <c r="C6130" s="12" t="inlineStr">
        <is>
          <t>Fuel supply (adjacent market)</t>
        </is>
      </c>
      <c r="D6130" s="12" t="inlineStr">
        <is>
          <t>Motor 1 of 1, 15 kW</t>
        </is>
      </c>
      <c r="E6130" s="12" t="inlineStr"/>
      <c r="F6130" s="12" t="inlineStr">
        <is>
          <t>LNG 17: LNG e-house (13.8 kV / 480 V)</t>
        </is>
      </c>
      <c r="G6130" s="12" t="inlineStr"/>
      <c r="H6130" s="12" t="inlineStr">
        <is>
          <t>LNG 12: spill impoundment (NFPA 59A, to verify)</t>
        </is>
      </c>
      <c r="I6130" s="12" t="inlineStr">
        <is>
          <t>LV 600 V</t>
        </is>
      </c>
      <c r="J6130" s="12" t="inlineStr">
        <is>
          <t>ARMOR-X MC-HL 600 V 3/C Cu XHHW-2 + ground, CWA, black PVC (Class I Div 2)</t>
        </is>
      </c>
      <c r="K6130" s="12" t="inlineStr">
        <is>
          <t>LVAX|3/C+G|10</t>
        </is>
      </c>
      <c r="L6130" s="12" t="inlineStr">
        <is>
          <t>3/C+G</t>
        </is>
      </c>
      <c r="M6130" s="12" t="inlineStr">
        <is>
          <t>10</t>
        </is>
      </c>
      <c r="N6130" s="12" t="n">
        <v>1</v>
      </c>
      <c r="O6130" s="12" t="n">
        <v>1</v>
      </c>
      <c r="P6130" s="12" t="n">
        <v>480</v>
      </c>
      <c r="Q6130" s="12" t="n">
        <v>15</v>
      </c>
      <c r="R6130" s="12" t="n">
        <v>21.2</v>
      </c>
      <c r="S6130" s="12" t="inlineStr">
        <is>
          <t>Duct bank</t>
        </is>
      </c>
      <c r="T6130" s="15" t="n">
        <v>230</v>
      </c>
      <c r="U6130" s="15" t="n">
        <v>32</v>
      </c>
      <c r="V6130" s="15">
        <f>ROUNDUP((T6130+U6130+2*'Read Me'!$B$13)*(1+'Read Me'!$B$12),-1)</f>
        <v/>
      </c>
      <c r="W6130" s="15">
        <f>V6130*N6130*O6130</f>
        <v/>
      </c>
      <c r="X6130" s="12">
        <f>IF(LEFT(I6130,2)="MV",2*N6130*IF(L6130="1/C",O6130,1),0)</f>
        <v/>
      </c>
      <c r="Y6130" s="12">
        <f>IF(OR(LEFT(K6130,4)="LVAX",LEFT(K6130,6)="MV15AX",LEFT(K6130,4)="CTAX",LEFT(K6130,2)="W|"),2*N6130*O6130,0)</f>
        <v/>
      </c>
      <c r="Z6130" s="12" t="inlineStr">
        <is>
          <t>VD 2.7 %</t>
        </is>
      </c>
      <c r="AA6130" s="12">
        <f>N6130*O6130</f>
        <v/>
      </c>
    </row>
    <row r="6131">
      <c r="A6131" s="12" t="inlineStr">
        <is>
          <t>K-P-0037</t>
        </is>
      </c>
      <c r="B6131" s="12" t="inlineStr">
        <is>
          <t>K</t>
        </is>
      </c>
      <c r="C6131" s="12" t="inlineStr">
        <is>
          <t>Fuel supply (adjacent market)</t>
        </is>
      </c>
      <c r="D6131" s="12" t="inlineStr">
        <is>
          <t>Motor 1 of 1, 15 kW</t>
        </is>
      </c>
      <c r="E6131" s="12" t="inlineStr"/>
      <c r="F6131" s="12" t="inlineStr">
        <is>
          <t>LNG 17: LNG e-house (13.8 kV / 480 V)</t>
        </is>
      </c>
      <c r="G6131" s="12" t="inlineStr"/>
      <c r="H6131" s="12" t="inlineStr">
        <is>
          <t>LNG 13: send-out pumps 2 x 100%</t>
        </is>
      </c>
      <c r="I6131" s="12" t="inlineStr">
        <is>
          <t>LV 600 V</t>
        </is>
      </c>
      <c r="J6131" s="12" t="inlineStr">
        <is>
          <t>ARMOR-X MC-HL 600 V 3/C Cu XHHW-2 + ground, CWA, black PVC (Class I Div 2)</t>
        </is>
      </c>
      <c r="K6131" s="12" t="inlineStr">
        <is>
          <t>LVAX|3/C+G|10</t>
        </is>
      </c>
      <c r="L6131" s="12" t="inlineStr">
        <is>
          <t>3/C+G</t>
        </is>
      </c>
      <c r="M6131" s="12" t="inlineStr">
        <is>
          <t>10</t>
        </is>
      </c>
      <c r="N6131" s="12" t="n">
        <v>1</v>
      </c>
      <c r="O6131" s="12" t="n">
        <v>1</v>
      </c>
      <c r="P6131" s="12" t="n">
        <v>480</v>
      </c>
      <c r="Q6131" s="12" t="n">
        <v>15</v>
      </c>
      <c r="R6131" s="12" t="n">
        <v>21.2</v>
      </c>
      <c r="S6131" s="12" t="inlineStr">
        <is>
          <t>Duct bank</t>
        </is>
      </c>
      <c r="T6131" s="15" t="n">
        <v>110</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1.4 %</t>
        </is>
      </c>
      <c r="AA6131" s="12">
        <f>N6131*O6131</f>
        <v/>
      </c>
    </row>
    <row r="6132">
      <c r="A6132" s="12" t="inlineStr">
        <is>
          <t>K-P-0038</t>
        </is>
      </c>
      <c r="B6132" s="12" t="inlineStr">
        <is>
          <t>K</t>
        </is>
      </c>
      <c r="C6132" s="12" t="inlineStr">
        <is>
          <t>Fuel supply (adjacent market)</t>
        </is>
      </c>
      <c r="D6132" s="12" t="inlineStr">
        <is>
          <t>Motor 1 of 1, 15 kW</t>
        </is>
      </c>
      <c r="E6132" s="12" t="inlineStr"/>
      <c r="F6132" s="12" t="inlineStr">
        <is>
          <t>LNG 17: LNG e-house (13.8 kV / 480 V)</t>
        </is>
      </c>
      <c r="G6132" s="12" t="inlineStr"/>
      <c r="H6132" s="12" t="inlineStr">
        <is>
          <t>LNG 14: vaporizers + glycol heater</t>
        </is>
      </c>
      <c r="I6132" s="12" t="inlineStr">
        <is>
          <t>LV 600 V</t>
        </is>
      </c>
      <c r="J6132" s="12" t="inlineStr">
        <is>
          <t>ARMOR-X MC-HL 600 V 3/C Cu XHHW-2 + ground, CWA, black PVC (Class I Div 2)</t>
        </is>
      </c>
      <c r="K6132" s="12" t="inlineStr">
        <is>
          <t>LVAX|3/C+G|10</t>
        </is>
      </c>
      <c r="L6132" s="12" t="inlineStr">
        <is>
          <t>3/C+G</t>
        </is>
      </c>
      <c r="M6132" s="12" t="inlineStr">
        <is>
          <t>10</t>
        </is>
      </c>
      <c r="N6132" s="12" t="n">
        <v>1</v>
      </c>
      <c r="O6132" s="12" t="n">
        <v>1</v>
      </c>
      <c r="P6132" s="12" t="n">
        <v>480</v>
      </c>
      <c r="Q6132" s="12" t="n">
        <v>15</v>
      </c>
      <c r="R6132" s="12" t="n">
        <v>21.2</v>
      </c>
      <c r="S6132" s="12" t="inlineStr">
        <is>
          <t>Duct bank</t>
        </is>
      </c>
      <c r="T6132" s="15" t="n">
        <v>259</v>
      </c>
      <c r="U6132" s="15" t="n">
        <v>32</v>
      </c>
      <c r="V6132" s="15">
        <f>ROUNDUP((T6132+U6132+2*'Read Me'!$B$13)*(1+'Read Me'!$B$12),-1)</f>
        <v/>
      </c>
      <c r="W6132" s="15">
        <f>V6132*N6132*O6132</f>
        <v/>
      </c>
      <c r="X6132" s="12">
        <f>IF(LEFT(I6132,2)="MV",2*N6132*IF(L6132="1/C",O6132,1),0)</f>
        <v/>
      </c>
      <c r="Y6132" s="12">
        <f>IF(OR(LEFT(K6132,4)="LVAX",LEFT(K6132,6)="MV15AX",LEFT(K6132,4)="CTAX",LEFT(K6132,2)="W|"),2*N6132*O6132,0)</f>
        <v/>
      </c>
      <c r="Z6132" s="12" t="inlineStr">
        <is>
          <t>VD 3.0 %</t>
        </is>
      </c>
      <c r="AA6132" s="12">
        <f>N6132*O6132</f>
        <v/>
      </c>
    </row>
    <row r="6133">
      <c r="A6133" s="12" t="inlineStr">
        <is>
          <t>K-P-0039</t>
        </is>
      </c>
      <c r="B6133" s="12" t="inlineStr">
        <is>
          <t>K</t>
        </is>
      </c>
      <c r="C6133" s="12" t="inlineStr">
        <is>
          <t>Fuel supply (adjacent market)</t>
        </is>
      </c>
      <c r="D6133" s="12" t="inlineStr">
        <is>
          <t>Motor 1 of 1, 15 kW</t>
        </is>
      </c>
      <c r="E6133" s="12" t="inlineStr"/>
      <c r="F6133" s="12" t="inlineStr">
        <is>
          <t>LNG 17: LNG e-house (13.8 kV / 480 V)</t>
        </is>
      </c>
      <c r="G6133" s="12" t="inlineStr"/>
      <c r="H6133" s="12" t="inlineStr">
        <is>
          <t>LNG 15: boil-off gas compressor</t>
        </is>
      </c>
      <c r="I6133" s="12" t="inlineStr">
        <is>
          <t>LV 600 V</t>
        </is>
      </c>
      <c r="J6133" s="12" t="inlineStr">
        <is>
          <t>ARMOR-X MC-HL 600 V 3/C Cu XHHW-2 + ground, CWA, black PVC (Class I Div 2)</t>
        </is>
      </c>
      <c r="K6133" s="12" t="inlineStr">
        <is>
          <t>LVAX|3/C+G|10</t>
        </is>
      </c>
      <c r="L6133" s="12" t="inlineStr">
        <is>
          <t>3/C+G</t>
        </is>
      </c>
      <c r="M6133" s="12" t="inlineStr">
        <is>
          <t>10</t>
        </is>
      </c>
      <c r="N6133" s="12" t="n">
        <v>1</v>
      </c>
      <c r="O6133" s="12" t="n">
        <v>1</v>
      </c>
      <c r="P6133" s="12" t="n">
        <v>480</v>
      </c>
      <c r="Q6133" s="12" t="n">
        <v>15</v>
      </c>
      <c r="R6133" s="12" t="n">
        <v>21.2</v>
      </c>
      <c r="S6133" s="12" t="inlineStr">
        <is>
          <t>Duct bank</t>
        </is>
      </c>
      <c r="T6133" s="15" t="n">
        <v>25</v>
      </c>
      <c r="U6133" s="15" t="n">
        <v>54</v>
      </c>
      <c r="V6133" s="15">
        <f>ROUNDUP((T6133+U6133+2*'Read Me'!$B$13)*(1+'Read Me'!$B$12),-1)</f>
        <v/>
      </c>
      <c r="W6133" s="15">
        <f>V6133*N6133*O6133</f>
        <v/>
      </c>
      <c r="X6133" s="12">
        <f>IF(LEFT(I6133,2)="MV",2*N6133*IF(L6133="1/C",O6133,1),0)</f>
        <v/>
      </c>
      <c r="Y6133" s="12">
        <f>IF(OR(LEFT(K6133,4)="LVAX",LEFT(K6133,6)="MV15AX",LEFT(K6133,4)="CTAX",LEFT(K6133,2)="W|"),2*N6133*O6133,0)</f>
        <v/>
      </c>
      <c r="Z6133" s="12" t="inlineStr">
        <is>
          <t>VD 0.8 %</t>
        </is>
      </c>
      <c r="AA6133" s="12">
        <f>N6133*O6133</f>
        <v/>
      </c>
    </row>
    <row r="6134">
      <c r="A6134" s="12" t="inlineStr">
        <is>
          <t>K-P-0040</t>
        </is>
      </c>
      <c r="B6134" s="12" t="inlineStr">
        <is>
          <t>K</t>
        </is>
      </c>
      <c r="C6134" s="12" t="inlineStr">
        <is>
          <t>Fuel supply (adjacent market)</t>
        </is>
      </c>
      <c r="D6134" s="12" t="inlineStr">
        <is>
          <t>Motor 1 of 1, 15 kW</t>
        </is>
      </c>
      <c r="E6134" s="12" t="inlineStr"/>
      <c r="F6134" s="12" t="inlineStr">
        <is>
          <t>LNG 17: LNG e-house (13.8 kV / 480 V)</t>
        </is>
      </c>
      <c r="G6134" s="12" t="inlineStr"/>
      <c r="H6134" s="12" t="inlineStr">
        <is>
          <t>LNG 16: send-out metering + pressure control</t>
        </is>
      </c>
      <c r="I6134" s="12" t="inlineStr">
        <is>
          <t>LV 600 V</t>
        </is>
      </c>
      <c r="J6134" s="12" t="inlineStr">
        <is>
          <t>ARMOR-X MC-HL 600 V 3/C Cu XHHW-2 + ground, CWA, black PVC (Class I Div 2)</t>
        </is>
      </c>
      <c r="K6134" s="12" t="inlineStr">
        <is>
          <t>LVAX|3/C+G|10</t>
        </is>
      </c>
      <c r="L6134" s="12" t="inlineStr">
        <is>
          <t>3/C+G</t>
        </is>
      </c>
      <c r="M6134" s="12" t="inlineStr">
        <is>
          <t>10</t>
        </is>
      </c>
      <c r="N6134" s="12" t="n">
        <v>1</v>
      </c>
      <c r="O6134" s="12" t="n">
        <v>1</v>
      </c>
      <c r="P6134" s="12" t="n">
        <v>480</v>
      </c>
      <c r="Q6134" s="12" t="n">
        <v>15</v>
      </c>
      <c r="R6134" s="12" t="n">
        <v>21.2</v>
      </c>
      <c r="S6134" s="12" t="inlineStr">
        <is>
          <t>Duct bank</t>
        </is>
      </c>
      <c r="T6134" s="15" t="n">
        <v>20</v>
      </c>
      <c r="U6134" s="15" t="n">
        <v>32</v>
      </c>
      <c r="V6134" s="15">
        <f>ROUNDUP((T6134+U6134+2*'Read Me'!$B$13)*(1+'Read Me'!$B$12),-1)</f>
        <v/>
      </c>
      <c r="W6134" s="15">
        <f>V6134*N6134*O6134</f>
        <v/>
      </c>
      <c r="X6134" s="12">
        <f>IF(LEFT(I6134,2)="MV",2*N6134*IF(L6134="1/C",O6134,1),0)</f>
        <v/>
      </c>
      <c r="Y6134" s="12">
        <f>IF(OR(LEFT(K6134,4)="LVAX",LEFT(K6134,6)="MV15AX",LEFT(K6134,4)="CTAX",LEFT(K6134,2)="W|"),2*N6134*O6134,0)</f>
        <v/>
      </c>
      <c r="Z6134" s="12" t="inlineStr">
        <is>
          <t>VD 0.5 %</t>
        </is>
      </c>
      <c r="AA6134" s="12">
        <f>N6134*O6134</f>
        <v/>
      </c>
    </row>
    <row r="6135">
      <c r="A6135" s="12" t="inlineStr">
        <is>
          <t>K-P-0041</t>
        </is>
      </c>
      <c r="B6135" s="12" t="inlineStr">
        <is>
          <t>K</t>
        </is>
      </c>
      <c r="C6135" s="12" t="inlineStr">
        <is>
          <t>Fuel supply (adjacent market)</t>
        </is>
      </c>
      <c r="D6135" s="12" t="inlineStr">
        <is>
          <t>Motor 1 of 1, 15 kW</t>
        </is>
      </c>
      <c r="E6135" s="12" t="inlineStr"/>
      <c r="F6135" s="12" t="inlineStr">
        <is>
          <t>LNG 17: LNG e-house (13.8 kV / 480 V)</t>
        </is>
      </c>
      <c r="G6135" s="12" t="inlineStr"/>
      <c r="H6135" s="12" t="inlineStr">
        <is>
          <t>LNG 17: LNG e-house (13.8 kV / 480 V)</t>
        </is>
      </c>
      <c r="I6135" s="12" t="inlineStr">
        <is>
          <t>LV 600 V</t>
        </is>
      </c>
      <c r="J6135" s="12" t="inlineStr">
        <is>
          <t>ARMOR-X MC-HL 600 V 3/C Cu XHHW-2 + ground, CWA, black PVC (Class I Div 2)</t>
        </is>
      </c>
      <c r="K6135" s="12" t="inlineStr">
        <is>
          <t>LVAX|3/C+G|10</t>
        </is>
      </c>
      <c r="L6135" s="12" t="inlineStr">
        <is>
          <t>3/C+G</t>
        </is>
      </c>
      <c r="M6135" s="12" t="inlineStr">
        <is>
          <t>10</t>
        </is>
      </c>
      <c r="N6135" s="12" t="n">
        <v>1</v>
      </c>
      <c r="O6135" s="12" t="n">
        <v>1</v>
      </c>
      <c r="P6135" s="12" t="n">
        <v>480</v>
      </c>
      <c r="Q6135" s="12" t="n">
        <v>15</v>
      </c>
      <c r="R6135" s="12" t="n">
        <v>21.2</v>
      </c>
      <c r="S6135" s="12" t="inlineStr">
        <is>
          <t>Tray</t>
        </is>
      </c>
      <c r="T6135" s="15" t="n">
        <v>0</v>
      </c>
      <c r="U6135" s="15" t="n">
        <v>32</v>
      </c>
      <c r="V6135" s="15">
        <f>ROUNDUP((T6135+U6135+2*'Read Me'!$B$13)*(1+'Read Me'!$B$12),-1)</f>
        <v/>
      </c>
      <c r="W6135" s="15">
        <f>V6135*N6135*O6135</f>
        <v/>
      </c>
      <c r="X6135" s="12">
        <f>IF(LEFT(I6135,2)="MV",2*N6135*IF(L6135="1/C",O6135,1),0)</f>
        <v/>
      </c>
      <c r="Y6135" s="12">
        <f>IF(OR(LEFT(K6135,4)="LVAX",LEFT(K6135,6)="MV15AX",LEFT(K6135,4)="CTAX",LEFT(K6135,2)="W|"),2*N6135*O6135,0)</f>
        <v/>
      </c>
      <c r="Z6135" s="12" t="inlineStr">
        <is>
          <t>VD 0.3 %</t>
        </is>
      </c>
      <c r="AA6135" s="12">
        <f>N6135*O6135</f>
        <v/>
      </c>
    </row>
    <row r="6136">
      <c r="A6136" s="12" t="inlineStr">
        <is>
          <t>K-P-0042</t>
        </is>
      </c>
      <c r="B6136" s="12" t="inlineStr">
        <is>
          <t>K</t>
        </is>
      </c>
      <c r="C6136" s="12" t="inlineStr">
        <is>
          <t>Fuel supply (adjacent market)</t>
        </is>
      </c>
      <c r="D6136" s="12" t="inlineStr">
        <is>
          <t>Motor 1 of 1, 15 kW</t>
        </is>
      </c>
      <c r="E6136" s="12" t="inlineStr"/>
      <c r="F6136" s="12" t="inlineStr">
        <is>
          <t>LNG 17: LNG e-house (13.8 kV / 480 V)</t>
        </is>
      </c>
      <c r="G6136" s="12" t="inlineStr"/>
      <c r="H6136" s="12" t="inlineStr">
        <is>
          <t>LNG 18: vent stack</t>
        </is>
      </c>
      <c r="I6136" s="12" t="inlineStr">
        <is>
          <t>LV 600 V</t>
        </is>
      </c>
      <c r="J6136" s="12" t="inlineStr">
        <is>
          <t>ARMOR-X MC-HL 600 V 3/C Cu XHHW-2 + ground, CWA, black PVC (Class I Div 2)</t>
        </is>
      </c>
      <c r="K6136" s="12" t="inlineStr">
        <is>
          <t>LVAX|3/C+G|10</t>
        </is>
      </c>
      <c r="L6136" s="12" t="inlineStr">
        <is>
          <t>3/C+G</t>
        </is>
      </c>
      <c r="M6136" s="12" t="inlineStr">
        <is>
          <t>10</t>
        </is>
      </c>
      <c r="N6136" s="12" t="n">
        <v>1</v>
      </c>
      <c r="O6136" s="12" t="n">
        <v>1</v>
      </c>
      <c r="P6136" s="12" t="n">
        <v>480</v>
      </c>
      <c r="Q6136" s="12" t="n">
        <v>15</v>
      </c>
      <c r="R6136" s="12" t="n">
        <v>21.2</v>
      </c>
      <c r="S6136" s="12" t="inlineStr">
        <is>
          <t>Duct bank</t>
        </is>
      </c>
      <c r="T6136" s="15" t="n">
        <v>25</v>
      </c>
      <c r="U6136" s="15" t="n">
        <v>117</v>
      </c>
      <c r="V6136" s="15">
        <f>ROUNDUP((T6136+U6136+2*'Read Me'!$B$13)*(1+'Read Me'!$B$12),-1)</f>
        <v/>
      </c>
      <c r="W6136" s="15">
        <f>V6136*N6136*O6136</f>
        <v/>
      </c>
      <c r="X6136" s="12">
        <f>IF(LEFT(I6136,2)="MV",2*N6136*IF(L6136="1/C",O6136,1),0)</f>
        <v/>
      </c>
      <c r="Y6136" s="12">
        <f>IF(OR(LEFT(K6136,4)="LVAX",LEFT(K6136,6)="MV15AX",LEFT(K6136,4)="CTAX",LEFT(K6136,2)="W|"),2*N6136*O6136,0)</f>
        <v/>
      </c>
      <c r="Z6136" s="12" t="inlineStr">
        <is>
          <t>VD 1.4 %</t>
        </is>
      </c>
      <c r="AA6136" s="12">
        <f>N6136*O6136</f>
        <v/>
      </c>
    </row>
    <row r="6137">
      <c r="A6137" s="12" t="inlineStr">
        <is>
          <t>K-P-0043</t>
        </is>
      </c>
      <c r="B6137" s="12" t="inlineStr">
        <is>
          <t>K</t>
        </is>
      </c>
      <c r="C6137" s="12" t="inlineStr">
        <is>
          <t>Fuel supply (adjacent market)</t>
        </is>
      </c>
      <c r="D6137" s="12" t="inlineStr">
        <is>
          <t>LV power feeder</t>
        </is>
      </c>
      <c r="E6137" s="12" t="inlineStr"/>
      <c r="F6137" s="12" t="inlineStr">
        <is>
          <t>LNG 17: LNG e-house (13.8 kV / 480 V)</t>
        </is>
      </c>
      <c r="G6137" s="12" t="inlineStr"/>
      <c r="H6137" s="12" t="inlineStr">
        <is>
          <t>LNG impoundment sump pump</t>
        </is>
      </c>
      <c r="I6137" s="12" t="inlineStr">
        <is>
          <t>LV 600 V</t>
        </is>
      </c>
      <c r="J6137" s="12" t="inlineStr">
        <is>
          <t>ARMOR-X MC-HL 600 V 3/C Cu XHHW-2 + ground, CWA, black PVC (Class I Div 2)</t>
        </is>
      </c>
      <c r="K6137" s="12" t="inlineStr">
        <is>
          <t>LVAX|3/C+G|8</t>
        </is>
      </c>
      <c r="L6137" s="12" t="inlineStr">
        <is>
          <t>3/C+G</t>
        </is>
      </c>
      <c r="M6137" s="12" t="inlineStr">
        <is>
          <t>8</t>
        </is>
      </c>
      <c r="N6137" s="12" t="n">
        <v>1</v>
      </c>
      <c r="O6137" s="12" t="n">
        <v>1</v>
      </c>
      <c r="P6137" s="12" t="n">
        <v>480</v>
      </c>
      <c r="Q6137" s="12" t="n">
        <v>15</v>
      </c>
      <c r="R6137" s="12" t="n">
        <v>21.2</v>
      </c>
      <c r="S6137" s="12" t="inlineStr">
        <is>
          <t>Duct bank</t>
        </is>
      </c>
      <c r="T6137" s="15" t="n">
        <v>334</v>
      </c>
      <c r="U6137" s="15" t="n">
        <v>32</v>
      </c>
      <c r="V6137" s="15">
        <f>ROUNDUP((T6137+U6137+2*'Read Me'!$B$13)*(1+'Read Me'!$B$12),-1)</f>
        <v/>
      </c>
      <c r="W6137" s="15">
        <f>V6137*N6137*O6137</f>
        <v/>
      </c>
      <c r="X6137" s="12">
        <f>IF(LEFT(I6137,2)="MV",2*N6137*IF(L6137="1/C",O6137,1),0)</f>
        <v/>
      </c>
      <c r="Y6137" s="12">
        <f>IF(OR(LEFT(K6137,4)="LVAX",LEFT(K6137,6)="MV15AX",LEFT(K6137,4)="CTAX",LEFT(K6137,2)="W|"),2*N6137*O6137,0)</f>
        <v/>
      </c>
      <c r="Z6137" s="12" t="inlineStr">
        <is>
          <t>VD 2.4 %</t>
        </is>
      </c>
      <c r="AA6137" s="12">
        <f>N6137*O6137</f>
        <v/>
      </c>
    </row>
    <row r="6138">
      <c r="A6138" s="12" t="inlineStr">
        <is>
          <t>K-P-0044</t>
        </is>
      </c>
      <c r="B6138" s="12" t="inlineStr">
        <is>
          <t>K</t>
        </is>
      </c>
      <c r="C6138" s="12" t="inlineStr">
        <is>
          <t>Fuel supply (adjacent market)</t>
        </is>
      </c>
      <c r="D6138" s="12" t="inlineStr">
        <is>
          <t>LV power feeder</t>
        </is>
      </c>
      <c r="E6138" s="12" t="inlineStr"/>
      <c r="F6138" s="12" t="inlineStr">
        <is>
          <t>LNG 17: LNG e-house (13.8 kV / 480 V)</t>
        </is>
      </c>
      <c r="G6138" s="12" t="inlineStr"/>
      <c r="H6138" s="12" t="inlineStr">
        <is>
          <t>M&amp;R 2: insulating joint + ESD valve</t>
        </is>
      </c>
      <c r="I6138" s="12" t="inlineStr">
        <is>
          <t>LV 600 V</t>
        </is>
      </c>
      <c r="J6138" s="12" t="inlineStr">
        <is>
          <t>ARMOR-X MC-HL 600 V 3/C Cu XHHW-2 + ground, CWA, black PVC (Class I Div 2)</t>
        </is>
      </c>
      <c r="K6138" s="12" t="inlineStr">
        <is>
          <t>LVAX|3/C+G|6</t>
        </is>
      </c>
      <c r="L6138" s="12" t="inlineStr">
        <is>
          <t>3/C+G</t>
        </is>
      </c>
      <c r="M6138" s="12" t="inlineStr">
        <is>
          <t>6</t>
        </is>
      </c>
      <c r="N6138" s="12" t="n">
        <v>1</v>
      </c>
      <c r="O6138" s="12" t="n">
        <v>1</v>
      </c>
      <c r="P6138" s="12" t="n">
        <v>480</v>
      </c>
      <c r="Q6138" s="12" t="n">
        <v>10</v>
      </c>
      <c r="R6138" s="12" t="n">
        <v>14.2</v>
      </c>
      <c r="S6138" s="12" t="inlineStr">
        <is>
          <t>Duct bank</t>
        </is>
      </c>
      <c r="T6138" s="15" t="n">
        <v>758</v>
      </c>
      <c r="U6138" s="15" t="n">
        <v>32</v>
      </c>
      <c r="V6138" s="15">
        <f>ROUNDUP((T6138+U6138+2*'Read Me'!$B$13)*(1+'Read Me'!$B$12),-1)</f>
        <v/>
      </c>
      <c r="W6138" s="15">
        <f>V6138*N6138*O6138</f>
        <v/>
      </c>
      <c r="X6138" s="12">
        <f>IF(LEFT(I6138,2)="MV",2*N6138*IF(L6138="1/C",O6138,1),0)</f>
        <v/>
      </c>
      <c r="Y6138" s="12">
        <f>IF(OR(LEFT(K6138,4)="LVAX",LEFT(K6138,6)="MV15AX",LEFT(K6138,4)="CTAX",LEFT(K6138,2)="W|"),2*N6138*O6138,0)</f>
        <v/>
      </c>
      <c r="Z6138" s="12" t="inlineStr">
        <is>
          <t>VD 2.2 %</t>
        </is>
      </c>
      <c r="AA6138" s="12">
        <f>N6138*O6138</f>
        <v/>
      </c>
    </row>
    <row r="6139">
      <c r="A6139" s="12" t="inlineStr">
        <is>
          <t>K-P-0045</t>
        </is>
      </c>
      <c r="B6139" s="12" t="inlineStr">
        <is>
          <t>K</t>
        </is>
      </c>
      <c r="C6139" s="12" t="inlineStr">
        <is>
          <t>Fuel supply (adjacent market)</t>
        </is>
      </c>
      <c r="D6139" s="12" t="inlineStr">
        <is>
          <t>LV power feeder</t>
        </is>
      </c>
      <c r="E6139" s="12" t="inlineStr"/>
      <c r="F6139" s="12" t="inlineStr">
        <is>
          <t>LNG 17: LNG e-house (13.8 kV / 480 V)</t>
        </is>
      </c>
      <c r="G6139" s="12" t="inlineStr"/>
      <c r="H6139" s="12" t="inlineStr">
        <is>
          <t>M&amp;R 3: horizontal filter-separator</t>
        </is>
      </c>
      <c r="I6139" s="12" t="inlineStr">
        <is>
          <t>LV 600 V</t>
        </is>
      </c>
      <c r="J6139" s="12" t="inlineStr">
        <is>
          <t>ARMOR-X MC-HL 600 V 3/C Cu XHHW-2 + ground, CWA, black PVC (Class I Div 2)</t>
        </is>
      </c>
      <c r="K6139" s="12" t="inlineStr">
        <is>
          <t>LVAX|3/C+G|4</t>
        </is>
      </c>
      <c r="L6139" s="12" t="inlineStr">
        <is>
          <t>3/C+G</t>
        </is>
      </c>
      <c r="M6139" s="12" t="inlineStr">
        <is>
          <t>4</t>
        </is>
      </c>
      <c r="N6139" s="12" t="n">
        <v>1</v>
      </c>
      <c r="O6139" s="12" t="n">
        <v>1</v>
      </c>
      <c r="P6139" s="12" t="n">
        <v>480</v>
      </c>
      <c r="Q6139" s="12" t="n">
        <v>15</v>
      </c>
      <c r="R6139" s="12" t="n">
        <v>21.2</v>
      </c>
      <c r="S6139" s="12" t="inlineStr">
        <is>
          <t>Duct bank</t>
        </is>
      </c>
      <c r="T6139" s="15" t="n">
        <v>797</v>
      </c>
      <c r="U6139" s="15" t="n">
        <v>32</v>
      </c>
      <c r="V6139" s="15">
        <f>ROUNDUP((T6139+U6139+2*'Read Me'!$B$13)*(1+'Read Me'!$B$12),-1)</f>
        <v/>
      </c>
      <c r="W6139" s="15">
        <f>V6139*N6139*O6139</f>
        <v/>
      </c>
      <c r="X6139" s="12">
        <f>IF(LEFT(I6139,2)="MV",2*N6139*IF(L6139="1/C",O6139,1),0)</f>
        <v/>
      </c>
      <c r="Y6139" s="12">
        <f>IF(OR(LEFT(K6139,4)="LVAX",LEFT(K6139,6)="MV15AX",LEFT(K6139,4)="CTAX",LEFT(K6139,2)="W|"),2*N6139*O6139,0)</f>
        <v/>
      </c>
      <c r="Z6139" s="12" t="inlineStr">
        <is>
          <t>VD 2.2 %</t>
        </is>
      </c>
      <c r="AA6139" s="12">
        <f>N6139*O6139</f>
        <v/>
      </c>
    </row>
    <row r="6140">
      <c r="A6140" s="12" t="inlineStr">
        <is>
          <t>K-P-0046</t>
        </is>
      </c>
      <c r="B6140" s="12" t="inlineStr">
        <is>
          <t>K</t>
        </is>
      </c>
      <c r="C6140" s="12" t="inlineStr">
        <is>
          <t>Fuel supply (adjacent market)</t>
        </is>
      </c>
      <c r="D6140" s="12" t="inlineStr">
        <is>
          <t>LV power feeder</t>
        </is>
      </c>
      <c r="E6140" s="12" t="inlineStr"/>
      <c r="F6140" s="12" t="inlineStr">
        <is>
          <t>LNG 17: LNG e-house (13.8 kV / 480 V)</t>
        </is>
      </c>
      <c r="G6140" s="12" t="inlineStr"/>
      <c r="H6140" s="12" t="inlineStr">
        <is>
          <t>M&amp;R 4: line heater 1 (water bath)</t>
        </is>
      </c>
      <c r="I6140" s="12" t="inlineStr">
        <is>
          <t>LV 600 V</t>
        </is>
      </c>
      <c r="J6140" s="12" t="inlineStr">
        <is>
          <t>ARMOR-X MC-HL 600 V 3/C Cu XHHW-2 + ground, CWA, black PVC (Class I Div 2)</t>
        </is>
      </c>
      <c r="K6140" s="12" t="inlineStr">
        <is>
          <t>LVAX|3/C+G|6</t>
        </is>
      </c>
      <c r="L6140" s="12" t="inlineStr">
        <is>
          <t>3/C+G</t>
        </is>
      </c>
      <c r="M6140" s="12" t="inlineStr">
        <is>
          <t>6</t>
        </is>
      </c>
      <c r="N6140" s="12" t="n">
        <v>1</v>
      </c>
      <c r="O6140" s="12" t="n">
        <v>1</v>
      </c>
      <c r="P6140" s="12" t="n">
        <v>480</v>
      </c>
      <c r="Q6140" s="12" t="n">
        <v>15</v>
      </c>
      <c r="R6140" s="12" t="n">
        <v>21.2</v>
      </c>
      <c r="S6140" s="12" t="inlineStr">
        <is>
          <t>Duct bank</t>
        </is>
      </c>
      <c r="T6140" s="15" t="n">
        <v>593</v>
      </c>
      <c r="U6140" s="15" t="n">
        <v>32</v>
      </c>
      <c r="V6140" s="15">
        <f>ROUNDUP((T6140+U6140+2*'Read Me'!$B$13)*(1+'Read Me'!$B$12),-1)</f>
        <v/>
      </c>
      <c r="W6140" s="15">
        <f>V6140*N6140*O6140</f>
        <v/>
      </c>
      <c r="X6140" s="12">
        <f>IF(LEFT(I6140,2)="MV",2*N6140*IF(L6140="1/C",O6140,1),0)</f>
        <v/>
      </c>
      <c r="Y6140" s="12">
        <f>IF(OR(LEFT(K6140,4)="LVAX",LEFT(K6140,6)="MV15AX",LEFT(K6140,4)="CTAX",LEFT(K6140,2)="W|"),2*N6140*O6140,0)</f>
        <v/>
      </c>
      <c r="Z6140" s="12" t="inlineStr">
        <is>
          <t>VD 2.6 %</t>
        </is>
      </c>
      <c r="AA6140" s="12">
        <f>N6140*O6140</f>
        <v/>
      </c>
    </row>
    <row r="6141">
      <c r="A6141" s="12" t="inlineStr">
        <is>
          <t>K-P-0047</t>
        </is>
      </c>
      <c r="B6141" s="12" t="inlineStr">
        <is>
          <t>K</t>
        </is>
      </c>
      <c r="C6141" s="12" t="inlineStr">
        <is>
          <t>Fuel supply (adjacent market)</t>
        </is>
      </c>
      <c r="D6141" s="12" t="inlineStr">
        <is>
          <t>LV power feeder</t>
        </is>
      </c>
      <c r="E6141" s="12" t="inlineStr"/>
      <c r="F6141" s="12" t="inlineStr">
        <is>
          <t>LNG 17: LNG e-house (13.8 kV / 480 V)</t>
        </is>
      </c>
      <c r="G6141" s="12" t="inlineStr"/>
      <c r="H6141" s="12" t="inlineStr">
        <is>
          <t>M&amp;R 4: line heater 2 (water bath)</t>
        </is>
      </c>
      <c r="I6141" s="12" t="inlineStr">
        <is>
          <t>LV 600 V</t>
        </is>
      </c>
      <c r="J6141" s="12" t="inlineStr">
        <is>
          <t>ARMOR-X MC-HL 600 V 3/C Cu XHHW-2 + ground, CWA, black PVC (Class I Div 2)</t>
        </is>
      </c>
      <c r="K6141" s="12" t="inlineStr">
        <is>
          <t>LVAX|3/C+G|6</t>
        </is>
      </c>
      <c r="L6141" s="12" t="inlineStr">
        <is>
          <t>3/C+G</t>
        </is>
      </c>
      <c r="M6141" s="12" t="inlineStr">
        <is>
          <t>6</t>
        </is>
      </c>
      <c r="N6141" s="12" t="n">
        <v>1</v>
      </c>
      <c r="O6141" s="12" t="n">
        <v>1</v>
      </c>
      <c r="P6141" s="12" t="n">
        <v>480</v>
      </c>
      <c r="Q6141" s="12" t="n">
        <v>15</v>
      </c>
      <c r="R6141" s="12" t="n">
        <v>21.2</v>
      </c>
      <c r="S6141" s="12" t="inlineStr">
        <is>
          <t>Duct bank</t>
        </is>
      </c>
      <c r="T6141" s="15" t="n">
        <v>593</v>
      </c>
      <c r="U6141" s="15" t="n">
        <v>50</v>
      </c>
      <c r="V6141" s="15">
        <f>ROUNDUP((T6141+U6141+2*'Read Me'!$B$13)*(1+'Read Me'!$B$12),-1)</f>
        <v/>
      </c>
      <c r="W6141" s="15">
        <f>V6141*N6141*O6141</f>
        <v/>
      </c>
      <c r="X6141" s="12">
        <f>IF(LEFT(I6141,2)="MV",2*N6141*IF(L6141="1/C",O6141,1),0)</f>
        <v/>
      </c>
      <c r="Y6141" s="12">
        <f>IF(OR(LEFT(K6141,4)="LVAX",LEFT(K6141,6)="MV15AX",LEFT(K6141,4)="CTAX",LEFT(K6141,2)="W|"),2*N6141*O6141,0)</f>
        <v/>
      </c>
      <c r="Z6141" s="12" t="inlineStr">
        <is>
          <t>VD 2.7 %</t>
        </is>
      </c>
      <c r="AA6141" s="12">
        <f>N6141*O6141</f>
        <v/>
      </c>
    </row>
    <row r="6142">
      <c r="A6142" s="12" t="inlineStr">
        <is>
          <t>K-P-0048</t>
        </is>
      </c>
      <c r="B6142" s="12" t="inlineStr">
        <is>
          <t>K</t>
        </is>
      </c>
      <c r="C6142" s="12" t="inlineStr">
        <is>
          <t>Fuel supply (adjacent market)</t>
        </is>
      </c>
      <c r="D6142" s="12" t="inlineStr">
        <is>
          <t>LV power feeder</t>
        </is>
      </c>
      <c r="E6142" s="12" t="inlineStr"/>
      <c r="F6142" s="12" t="inlineStr">
        <is>
          <t>LNG 17: LNG e-house (13.8 kV / 480 V)</t>
        </is>
      </c>
      <c r="G6142" s="12" t="inlineStr"/>
      <c r="H6142" s="12" t="inlineStr">
        <is>
          <t>M&amp;R 4: line heater 3 (water bath)</t>
        </is>
      </c>
      <c r="I6142" s="12" t="inlineStr">
        <is>
          <t>LV 600 V</t>
        </is>
      </c>
      <c r="J6142" s="12" t="inlineStr">
        <is>
          <t>ARMOR-X MC-HL 600 V 3/C Cu XHHW-2 + ground, CWA, black PVC (Class I Div 2)</t>
        </is>
      </c>
      <c r="K6142" s="12" t="inlineStr">
        <is>
          <t>LVAX|3/C+G|6</t>
        </is>
      </c>
      <c r="L6142" s="12" t="inlineStr">
        <is>
          <t>3/C+G</t>
        </is>
      </c>
      <c r="M6142" s="12" t="inlineStr">
        <is>
          <t>6</t>
        </is>
      </c>
      <c r="N6142" s="12" t="n">
        <v>1</v>
      </c>
      <c r="O6142" s="12" t="n">
        <v>1</v>
      </c>
      <c r="P6142" s="12" t="n">
        <v>480</v>
      </c>
      <c r="Q6142" s="12" t="n">
        <v>15</v>
      </c>
      <c r="R6142" s="12" t="n">
        <v>21.2</v>
      </c>
      <c r="S6142" s="12" t="inlineStr">
        <is>
          <t>Duct bank</t>
        </is>
      </c>
      <c r="T6142" s="15" t="n">
        <v>593</v>
      </c>
      <c r="U6142" s="15" t="n">
        <v>68</v>
      </c>
      <c r="V6142" s="15">
        <f>ROUNDUP((T6142+U6142+2*'Read Me'!$B$13)*(1+'Read Me'!$B$12),-1)</f>
        <v/>
      </c>
      <c r="W6142" s="15">
        <f>V6142*N6142*O6142</f>
        <v/>
      </c>
      <c r="X6142" s="12">
        <f>IF(LEFT(I6142,2)="MV",2*N6142*IF(L6142="1/C",O6142,1),0)</f>
        <v/>
      </c>
      <c r="Y6142" s="12">
        <f>IF(OR(LEFT(K6142,4)="LVAX",LEFT(K6142,6)="MV15AX",LEFT(K6142,4)="CTAX",LEFT(K6142,2)="W|"),2*N6142*O6142,0)</f>
        <v/>
      </c>
      <c r="Z6142" s="12" t="inlineStr">
        <is>
          <t>VD 2.7 %</t>
        </is>
      </c>
      <c r="AA6142" s="12">
        <f>N6142*O6142</f>
        <v/>
      </c>
    </row>
    <row r="6143">
      <c r="A6143" s="12" t="inlineStr">
        <is>
          <t>K-P-0049</t>
        </is>
      </c>
      <c r="B6143" s="12" t="inlineStr">
        <is>
          <t>K</t>
        </is>
      </c>
      <c r="C6143" s="12" t="inlineStr">
        <is>
          <t>Fuel supply (adjacent market)</t>
        </is>
      </c>
      <c r="D6143" s="12" t="inlineStr">
        <is>
          <t>LV panel / distribution feeder</t>
        </is>
      </c>
      <c r="E6143" s="12" t="inlineStr"/>
      <c r="F6143" s="12" t="inlineStr">
        <is>
          <t>LNG 17: LNG e-house (13.8 kV / 480 V)</t>
        </is>
      </c>
      <c r="G6143" s="12" t="inlineStr"/>
      <c r="H6143" s="12" t="inlineStr">
        <is>
          <t>M&amp;R 6: regulation / flow control building</t>
        </is>
      </c>
      <c r="I6143" s="12" t="inlineStr">
        <is>
          <t>LV 600 V</t>
        </is>
      </c>
      <c r="J6143" s="12" t="inlineStr">
        <is>
          <t>ARMOR-X MC-HL 600 V 3/C Cu XHHW-2 + ground, CWA, black PVC (Class I Div 2)</t>
        </is>
      </c>
      <c r="K6143" s="12" t="inlineStr">
        <is>
          <t>LVAX|3/C+G|8</t>
        </is>
      </c>
      <c r="L6143" s="12" t="inlineStr">
        <is>
          <t>3/C+G</t>
        </is>
      </c>
      <c r="M6143" s="12" t="inlineStr">
        <is>
          <t>8</t>
        </is>
      </c>
      <c r="N6143" s="12" t="n">
        <v>1</v>
      </c>
      <c r="O6143" s="12" t="n">
        <v>1</v>
      </c>
      <c r="P6143" s="12" t="n">
        <v>480</v>
      </c>
      <c r="Q6143" s="12" t="n">
        <v>10</v>
      </c>
      <c r="R6143" s="12" t="n">
        <v>14.2</v>
      </c>
      <c r="S6143" s="12" t="inlineStr">
        <is>
          <t>Duct bank</t>
        </is>
      </c>
      <c r="T6143" s="15" t="n">
        <v>470</v>
      </c>
      <c r="U6143" s="15" t="n">
        <v>70</v>
      </c>
      <c r="V6143" s="15">
        <f>ROUNDUP((T6143+U6143+2*'Read Me'!$B$13)*(1+'Read Me'!$B$12),-1)</f>
        <v/>
      </c>
      <c r="W6143" s="15">
        <f>V6143*N6143*O6143</f>
        <v/>
      </c>
      <c r="X6143" s="12">
        <f>IF(LEFT(I6143,2)="MV",2*N6143*IF(L6143="1/C",O6143,1),0)</f>
        <v/>
      </c>
      <c r="Y6143" s="12">
        <f>IF(OR(LEFT(K6143,4)="LVAX",LEFT(K6143,6)="MV15AX",LEFT(K6143,4)="CTAX",LEFT(K6143,2)="W|"),2*N6143*O6143,0)</f>
        <v/>
      </c>
      <c r="Z6143" s="12" t="inlineStr">
        <is>
          <t>VD 2.3 %</t>
        </is>
      </c>
      <c r="AA6143" s="12">
        <f>N6143*O6143</f>
        <v/>
      </c>
    </row>
    <row r="6144">
      <c r="A6144" s="12" t="inlineStr">
        <is>
          <t>K-P-0050</t>
        </is>
      </c>
      <c r="B6144" s="12" t="inlineStr">
        <is>
          <t>K</t>
        </is>
      </c>
      <c r="C6144" s="12" t="inlineStr">
        <is>
          <t>Fuel supply (adjacent market)</t>
        </is>
      </c>
      <c r="D6144" s="12" t="inlineStr">
        <is>
          <t>LV panel / distribution feeder</t>
        </is>
      </c>
      <c r="E6144" s="12" t="inlineStr"/>
      <c r="F6144" s="12" t="inlineStr">
        <is>
          <t>LNG 17: LNG e-house (13.8 kV / 480 V)</t>
        </is>
      </c>
      <c r="G6144" s="12" t="inlineStr"/>
      <c r="H6144" s="12" t="inlineStr">
        <is>
          <t>M&amp;R 7: gas quality + measurement building</t>
        </is>
      </c>
      <c r="I6144" s="12" t="inlineStr">
        <is>
          <t>LV 600 V</t>
        </is>
      </c>
      <c r="J6144" s="12" t="inlineStr">
        <is>
          <t>ARMOR-X MC-HL 600 V 3/C Cu XHHW-2 + ground, CWA, black PVC (Class I Div 2)</t>
        </is>
      </c>
      <c r="K6144" s="12" t="inlineStr">
        <is>
          <t>LVAX|3/C+G|2</t>
        </is>
      </c>
      <c r="L6144" s="12" t="inlineStr">
        <is>
          <t>3/C+G</t>
        </is>
      </c>
      <c r="M6144" s="12" t="inlineStr">
        <is>
          <t>2</t>
        </is>
      </c>
      <c r="N6144" s="12" t="n">
        <v>1</v>
      </c>
      <c r="O6144" s="12" t="n">
        <v>1</v>
      </c>
      <c r="P6144" s="12" t="n">
        <v>480</v>
      </c>
      <c r="Q6144" s="12" t="n">
        <v>30</v>
      </c>
      <c r="R6144" s="12" t="n">
        <v>42.5</v>
      </c>
      <c r="S6144" s="12" t="inlineStr">
        <is>
          <t>Duct bank</t>
        </is>
      </c>
      <c r="T6144" s="15" t="n">
        <v>616</v>
      </c>
      <c r="U6144" s="15" t="n">
        <v>52</v>
      </c>
      <c r="V6144" s="15">
        <f>ROUNDUP((T6144+U6144+2*'Read Me'!$B$13)*(1+'Read Me'!$B$12),-1)</f>
        <v/>
      </c>
      <c r="W6144" s="15">
        <f>V6144*N6144*O6144</f>
        <v/>
      </c>
      <c r="X6144" s="12">
        <f>IF(LEFT(I6144,2)="MV",2*N6144*IF(L6144="1/C",O6144,1),0)</f>
        <v/>
      </c>
      <c r="Y6144" s="12">
        <f>IF(OR(LEFT(K6144,4)="LVAX",LEFT(K6144,6)="MV15AX",LEFT(K6144,4)="CTAX",LEFT(K6144,2)="W|"),2*N6144*O6144,0)</f>
        <v/>
      </c>
      <c r="Z6144" s="12" t="inlineStr">
        <is>
          <t>VD 2.2 %</t>
        </is>
      </c>
      <c r="AA6144" s="12">
        <f>N6144*O6144</f>
        <v/>
      </c>
    </row>
    <row r="6145">
      <c r="A6145" s="12" t="inlineStr">
        <is>
          <t>K-P-0051</t>
        </is>
      </c>
      <c r="B6145" s="12" t="inlineStr">
        <is>
          <t>K</t>
        </is>
      </c>
      <c r="C6145" s="12" t="inlineStr">
        <is>
          <t>Fuel supply (adjacent market)</t>
        </is>
      </c>
      <c r="D6145" s="12" t="inlineStr">
        <is>
          <t>LV power feeder</t>
        </is>
      </c>
      <c r="E6145" s="12" t="inlineStr"/>
      <c r="F6145" s="12" t="inlineStr">
        <is>
          <t>LNG 17: LNG e-house (13.8 kV / 480 V)</t>
        </is>
      </c>
      <c r="G6145" s="12" t="inlineStr"/>
      <c r="H6145" s="12" t="inlineStr">
        <is>
          <t>M&amp;R 8: condensate tank</t>
        </is>
      </c>
      <c r="I6145" s="12" t="inlineStr">
        <is>
          <t>LV 600 V</t>
        </is>
      </c>
      <c r="J6145" s="12" t="inlineStr">
        <is>
          <t>ARMOR-X MC-HL 600 V 3/C Cu XHHW-2 + ground, CWA, black PVC (Class I Div 2)</t>
        </is>
      </c>
      <c r="K6145" s="12" t="inlineStr">
        <is>
          <t>LVAX|3/C+G|8</t>
        </is>
      </c>
      <c r="L6145" s="12" t="inlineStr">
        <is>
          <t>3/C+G</t>
        </is>
      </c>
      <c r="M6145" s="12" t="inlineStr">
        <is>
          <t>8</t>
        </is>
      </c>
      <c r="N6145" s="12" t="n">
        <v>1</v>
      </c>
      <c r="O6145" s="12" t="n">
        <v>1</v>
      </c>
      <c r="P6145" s="12" t="n">
        <v>480</v>
      </c>
      <c r="Q6145" s="12" t="n">
        <v>10</v>
      </c>
      <c r="R6145" s="12" t="n">
        <v>14.2</v>
      </c>
      <c r="S6145" s="12" t="inlineStr">
        <is>
          <t>Duct bank</t>
        </is>
      </c>
      <c r="T6145" s="15" t="n">
        <v>530</v>
      </c>
      <c r="U6145" s="15" t="n">
        <v>87</v>
      </c>
      <c r="V6145" s="15">
        <f>ROUNDUP((T6145+U6145+2*'Read Me'!$B$13)*(1+'Read Me'!$B$12),-1)</f>
        <v/>
      </c>
      <c r="W6145" s="15">
        <f>V6145*N6145*O6145</f>
        <v/>
      </c>
      <c r="X6145" s="12">
        <f>IF(LEFT(I6145,2)="MV",2*N6145*IF(L6145="1/C",O6145,1),0)</f>
        <v/>
      </c>
      <c r="Y6145" s="12">
        <f>IF(OR(LEFT(K6145,4)="LVAX",LEFT(K6145,6)="MV15AX",LEFT(K6145,4)="CTAX",LEFT(K6145,2)="W|"),2*N6145*O6145,0)</f>
        <v/>
      </c>
      <c r="Z6145" s="12" t="inlineStr">
        <is>
          <t>VD 2.6 %</t>
        </is>
      </c>
      <c r="AA6145" s="12">
        <f>N6145*O6145</f>
        <v/>
      </c>
    </row>
    <row r="6146">
      <c r="A6146" s="12" t="inlineStr">
        <is>
          <t>K-P-0052</t>
        </is>
      </c>
      <c r="B6146" s="12" t="inlineStr">
        <is>
          <t>K</t>
        </is>
      </c>
      <c r="C6146" s="12" t="inlineStr">
        <is>
          <t>Fuel supply (adjacent market)</t>
        </is>
      </c>
      <c r="D6146" s="12" t="inlineStr">
        <is>
          <t>LV power feeder</t>
        </is>
      </c>
      <c r="E6146" s="12" t="inlineStr"/>
      <c r="F6146" s="12" t="inlineStr">
        <is>
          <t>LNG 17: LNG e-house (13.8 kV / 480 V)</t>
        </is>
      </c>
      <c r="G6146" s="12" t="inlineStr"/>
      <c r="H6146" s="12" t="inlineStr">
        <is>
          <t>M&amp;R 9: service panel + UPS, SCADA RTU, CP</t>
        </is>
      </c>
      <c r="I6146" s="12" t="inlineStr">
        <is>
          <t>LV 600 V</t>
        </is>
      </c>
      <c r="J6146" s="12" t="inlineStr">
        <is>
          <t>ARMOR-X MC-HL 600 V 3/C Cu XHHW-2 + ground, CWA, black PVC (Class I Div 2)</t>
        </is>
      </c>
      <c r="K6146" s="12" t="inlineStr">
        <is>
          <t>LVAX|3/C+G|6</t>
        </is>
      </c>
      <c r="L6146" s="12" t="inlineStr">
        <is>
          <t>3/C+G</t>
        </is>
      </c>
      <c r="M6146" s="12" t="inlineStr">
        <is>
          <t>6</t>
        </is>
      </c>
      <c r="N6146" s="12" t="n">
        <v>1</v>
      </c>
      <c r="O6146" s="12" t="n">
        <v>1</v>
      </c>
      <c r="P6146" s="12" t="n">
        <v>480</v>
      </c>
      <c r="Q6146" s="12" t="n">
        <v>15</v>
      </c>
      <c r="R6146" s="12" t="n">
        <v>21.2</v>
      </c>
      <c r="S6146" s="12" t="inlineStr">
        <is>
          <t>Duct bank</t>
        </is>
      </c>
      <c r="T6146" s="15" t="n">
        <v>466</v>
      </c>
      <c r="U6146" s="15" t="n">
        <v>32</v>
      </c>
      <c r="V6146" s="15">
        <f>ROUNDUP((T6146+U6146+2*'Read Me'!$B$13)*(1+'Read Me'!$B$12),-1)</f>
        <v/>
      </c>
      <c r="W6146" s="15">
        <f>V6146*N6146*O6146</f>
        <v/>
      </c>
      <c r="X6146" s="12">
        <f>IF(LEFT(I6146,2)="MV",2*N6146*IF(L6146="1/C",O6146,1),0)</f>
        <v/>
      </c>
      <c r="Y6146" s="12">
        <f>IF(OR(LEFT(K6146,4)="LVAX",LEFT(K6146,6)="MV15AX",LEFT(K6146,4)="CTAX",LEFT(K6146,2)="W|"),2*N6146*O6146,0)</f>
        <v/>
      </c>
      <c r="Z6146" s="12" t="inlineStr">
        <is>
          <t>VD 2.1 %</t>
        </is>
      </c>
      <c r="AA6146" s="12">
        <f>N6146*O6146</f>
        <v/>
      </c>
    </row>
    <row r="6147">
      <c r="A6147" s="12" t="inlineStr">
        <is>
          <t>K-P-0053</t>
        </is>
      </c>
      <c r="B6147" s="12" t="inlineStr">
        <is>
          <t>K</t>
        </is>
      </c>
      <c r="C6147" s="12" t="inlineStr">
        <is>
          <t>Fuel supply (adjacent market)</t>
        </is>
      </c>
      <c r="D6147" s="12" t="inlineStr">
        <is>
          <t>LV power feeder</t>
        </is>
      </c>
      <c r="E6147" s="12" t="inlineStr"/>
      <c r="F6147" s="12" t="inlineStr">
        <is>
          <t>LNG 17: LNG e-house (13.8 kV / 480 V)</t>
        </is>
      </c>
      <c r="G6147" s="12" t="inlineStr"/>
      <c r="H6147" s="12" t="inlineStr">
        <is>
          <t>M&amp;R CP test station (as drawn)</t>
        </is>
      </c>
      <c r="I6147" s="12" t="inlineStr">
        <is>
          <t>LV 600 V</t>
        </is>
      </c>
      <c r="J6147" s="12" t="inlineStr">
        <is>
          <t>ARMOR-X MC-HL 600 V 3/C Cu XHHW-2 + ground, CWA, black PVC (Class I Div 2)</t>
        </is>
      </c>
      <c r="K6147" s="12" t="inlineStr">
        <is>
          <t>LVAX|3/C+G|6</t>
        </is>
      </c>
      <c r="L6147" s="12" t="inlineStr">
        <is>
          <t>3/C+G</t>
        </is>
      </c>
      <c r="M6147" s="12" t="inlineStr">
        <is>
          <t>6</t>
        </is>
      </c>
      <c r="N6147" s="12" t="n">
        <v>1</v>
      </c>
      <c r="O6147" s="12" t="n">
        <v>1</v>
      </c>
      <c r="P6147" s="12" t="n">
        <v>480</v>
      </c>
      <c r="Q6147" s="12" t="n">
        <v>15</v>
      </c>
      <c r="R6147" s="12" t="n">
        <v>21.2</v>
      </c>
      <c r="S6147" s="12" t="inlineStr">
        <is>
          <t>Duct bank</t>
        </is>
      </c>
      <c r="T6147" s="15" t="n">
        <v>441</v>
      </c>
      <c r="U6147" s="15" t="n">
        <v>42</v>
      </c>
      <c r="V6147" s="15">
        <f>ROUNDUP((T6147+U6147+2*'Read Me'!$B$13)*(1+'Read Me'!$B$12),-1)</f>
        <v/>
      </c>
      <c r="W6147" s="15">
        <f>V6147*N6147*O6147</f>
        <v/>
      </c>
      <c r="X6147" s="12">
        <f>IF(LEFT(I6147,2)="MV",2*N6147*IF(L6147="1/C",O6147,1),0)</f>
        <v/>
      </c>
      <c r="Y6147" s="12">
        <f>IF(OR(LEFT(K6147,4)="LVAX",LEFT(K6147,6)="MV15AX",LEFT(K6147,4)="CTAX",LEFT(K6147,2)="W|"),2*N6147*O6147,0)</f>
        <v/>
      </c>
      <c r="Z6147" s="12" t="inlineStr">
        <is>
          <t>VD 2.0 %</t>
        </is>
      </c>
      <c r="AA6147" s="12">
        <f>N6147*O6147</f>
        <v/>
      </c>
    </row>
    <row r="6148">
      <c r="A6148" s="12" t="inlineStr">
        <is>
          <t>K-P-0054</t>
        </is>
      </c>
      <c r="B6148" s="12" t="inlineStr">
        <is>
          <t>K</t>
        </is>
      </c>
      <c r="C6148" s="12" t="inlineStr">
        <is>
          <t>Fuel supply (adjacent market)</t>
        </is>
      </c>
      <c r="D6148" s="12" t="inlineStr">
        <is>
          <t>LV power feeder</t>
        </is>
      </c>
      <c r="E6148" s="12" t="inlineStr"/>
      <c r="F6148" s="12" t="inlineStr">
        <is>
          <t>LNG 17: LNG e-house (13.8 kV / 480 V)</t>
        </is>
      </c>
      <c r="G6148" s="12" t="inlineStr"/>
      <c r="H6148" s="12" t="inlineStr">
        <is>
          <t>M&amp;R SCADA antenna mast base (as drawn)</t>
        </is>
      </c>
      <c r="I6148" s="12" t="inlineStr">
        <is>
          <t>LV 600 V</t>
        </is>
      </c>
      <c r="J6148" s="12" t="inlineStr">
        <is>
          <t>ARMOR-X MC-HL 600 V 3/C Cu XHHW-2 + ground, CWA, black PVC (Class I Div 2)</t>
        </is>
      </c>
      <c r="K6148" s="12" t="inlineStr">
        <is>
          <t>LVAX|3/C+G|8</t>
        </is>
      </c>
      <c r="L6148" s="12" t="inlineStr">
        <is>
          <t>3/C+G</t>
        </is>
      </c>
      <c r="M6148" s="12" t="inlineStr">
        <is>
          <t>8</t>
        </is>
      </c>
      <c r="N6148" s="12" t="n">
        <v>1</v>
      </c>
      <c r="O6148" s="12" t="n">
        <v>1</v>
      </c>
      <c r="P6148" s="12" t="n">
        <v>480</v>
      </c>
      <c r="Q6148" s="12" t="n">
        <v>15</v>
      </c>
      <c r="R6148" s="12" t="n">
        <v>21.2</v>
      </c>
      <c r="S6148" s="12" t="inlineStr">
        <is>
          <t>Duct bank</t>
        </is>
      </c>
      <c r="T6148" s="15" t="n">
        <v>433</v>
      </c>
      <c r="U6148" s="15" t="n">
        <v>32</v>
      </c>
      <c r="V6148" s="15">
        <f>ROUNDUP((T6148+U6148+2*'Read Me'!$B$13)*(1+'Read Me'!$B$12),-1)</f>
        <v/>
      </c>
      <c r="W6148" s="15">
        <f>V6148*N6148*O6148</f>
        <v/>
      </c>
      <c r="X6148" s="12">
        <f>IF(LEFT(I6148,2)="MV",2*N6148*IF(L6148="1/C",O6148,1),0)</f>
        <v/>
      </c>
      <c r="Y6148" s="12">
        <f>IF(OR(LEFT(K6148,4)="LVAX",LEFT(K6148,6)="MV15AX",LEFT(K6148,4)="CTAX",LEFT(K6148,2)="W|"),2*N6148*O6148,0)</f>
        <v/>
      </c>
      <c r="Z6148" s="12" t="inlineStr">
        <is>
          <t>VD 3.0 %</t>
        </is>
      </c>
      <c r="AA6148" s="12">
        <f>N6148*O6148</f>
        <v/>
      </c>
    </row>
    <row r="6149">
      <c r="A6149" s="12" t="inlineStr">
        <is>
          <t>K-MV-0001</t>
        </is>
      </c>
      <c r="B6149" s="12" t="inlineStr">
        <is>
          <t>K</t>
        </is>
      </c>
      <c r="C6149" s="12" t="inlineStr">
        <is>
          <t>Fuel supply (adjacent market)</t>
        </is>
      </c>
      <c r="D6149" s="12" t="inlineStr">
        <is>
          <t>H2 13.8 kV e-house (electrolyzers)</t>
        </is>
      </c>
      <c r="E6149" s="12" t="inlineStr">
        <is>
          <t>SWGR-13.8-3</t>
        </is>
      </c>
      <c r="F6149" s="12" t="inlineStr">
        <is>
          <t>R1 SWGR-13.8-3 (11 x 36 in cubicles, 15 kV metal-clad)</t>
        </is>
      </c>
      <c r="G6149" s="12" t="inlineStr"/>
      <c r="H6149" s="12" t="inlineStr">
        <is>
          <t>H2 20: 13.8 kV e-house</t>
        </is>
      </c>
      <c r="I6149" s="12" t="inlineStr">
        <is>
          <t>MV 15 kV</t>
        </is>
      </c>
      <c r="J6149" s="12" t="inlineStr">
        <is>
          <t>MV-105 15 kV 1/C Cu, EPR 133%, Cu tape shield, PVC jacket (triplexed)</t>
        </is>
      </c>
      <c r="K6149" s="12" t="inlineStr">
        <is>
          <t>MV15|1/C|750</t>
        </is>
      </c>
      <c r="L6149" s="12" t="inlineStr">
        <is>
          <t>1/C</t>
        </is>
      </c>
      <c r="M6149" s="12" t="inlineStr">
        <is>
          <t>750 kcmil</t>
        </is>
      </c>
      <c r="N6149" s="12" t="n">
        <v>2</v>
      </c>
      <c r="O6149" s="12" t="n">
        <v>3</v>
      </c>
      <c r="P6149" s="12" t="n">
        <v>13800</v>
      </c>
      <c r="Q6149" s="12" t="n">
        <v>20000</v>
      </c>
      <c r="R6149" s="12" t="n">
        <v>837</v>
      </c>
      <c r="S6149" s="12" t="inlineStr">
        <is>
          <t>HV duct bank</t>
        </is>
      </c>
      <c r="T6149" s="15" t="n">
        <v>4013</v>
      </c>
      <c r="U6149" s="15" t="n">
        <v>128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K-MV-0002</t>
        </is>
      </c>
      <c r="B6150" s="12" t="inlineStr">
        <is>
          <t>K</t>
        </is>
      </c>
      <c r="C6150" s="12" t="inlineStr">
        <is>
          <t>Fuel supply (adjacent market)</t>
        </is>
      </c>
      <c r="D6150" s="12" t="inlineStr">
        <is>
          <t>LNG e-house</t>
        </is>
      </c>
      <c r="E6150" s="12" t="inlineStr">
        <is>
          <t>SWGR-13.8-3</t>
        </is>
      </c>
      <c r="F6150" s="12" t="inlineStr">
        <is>
          <t>R1 SWGR-13.8-3 (11 x 36 in cubicles, 15 kV metal-clad)</t>
        </is>
      </c>
      <c r="G6150" s="12" t="inlineStr"/>
      <c r="H6150" s="12" t="inlineStr">
        <is>
          <t>LNG 17: LNG e-house (13.8 kV / 480 V)</t>
        </is>
      </c>
      <c r="I6150" s="12" t="inlineStr">
        <is>
          <t>MV 15 kV</t>
        </is>
      </c>
      <c r="J6150" s="12" t="inlineStr">
        <is>
          <t>MV-105 15 kV 1/C Cu, EPR 133%, Cu tape shield, PVC jacket (triplexed)</t>
        </is>
      </c>
      <c r="K6150" s="12" t="inlineStr">
        <is>
          <t>MV15|1/C|4/0</t>
        </is>
      </c>
      <c r="L6150" s="12" t="inlineStr">
        <is>
          <t>1/C</t>
        </is>
      </c>
      <c r="M6150" s="12" t="inlineStr">
        <is>
          <t>4/0</t>
        </is>
      </c>
      <c r="N6150" s="12" t="n">
        <v>1</v>
      </c>
      <c r="O6150" s="12" t="n">
        <v>3</v>
      </c>
      <c r="P6150" s="12" t="n">
        <v>13800</v>
      </c>
      <c r="Q6150" s="12" t="n">
        <v>5000</v>
      </c>
      <c r="R6150" s="12" t="n">
        <v>209</v>
      </c>
      <c r="S6150" s="12" t="inlineStr">
        <is>
          <t>Duct bank</t>
        </is>
      </c>
      <c r="T6150" s="15" t="n">
        <v>2649</v>
      </c>
      <c r="U6150" s="15" t="n">
        <v>219</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C-C-0128</t>
        </is>
      </c>
      <c r="B6151" s="12" t="inlineStr">
        <is>
          <t>C</t>
        </is>
      </c>
      <c r="C6151" s="12" t="inlineStr">
        <is>
          <t>Grid interface</t>
        </is>
      </c>
      <c r="D6151" s="12" t="inlineStr">
        <is>
          <t>Motor 1 of 10: control / local station</t>
        </is>
      </c>
      <c r="E6151" s="12" t="inlineStr">
        <is>
          <t>MCC-C1</t>
        </is>
      </c>
      <c r="F6151" s="12" t="inlineStr">
        <is>
          <t>R1 MCC-C1</t>
        </is>
      </c>
      <c r="G6151" s="12" t="inlineStr"/>
      <c r="H6151" s="12" t="inlineStr">
        <is>
          <t xml:space="preserve">CO2 compression 3 x ~19 MW + dehydration: rooftop HVAC, exhaust fans, </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Tray</t>
        </is>
      </c>
      <c r="T6151" s="15" t="n">
        <v>1744</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C-C-0129</t>
        </is>
      </c>
      <c r="B6152" s="12" t="inlineStr">
        <is>
          <t>C</t>
        </is>
      </c>
      <c r="C6152" s="12" t="inlineStr">
        <is>
          <t>Grid interface</t>
        </is>
      </c>
      <c r="D6152" s="12" t="inlineStr">
        <is>
          <t>Motor 2 of 10: control / local station</t>
        </is>
      </c>
      <c r="E6152" s="12" t="inlineStr">
        <is>
          <t>MCC-C1</t>
        </is>
      </c>
      <c r="F6152" s="12" t="inlineStr">
        <is>
          <t>R1 MCC-C1</t>
        </is>
      </c>
      <c r="G6152" s="12" t="inlineStr"/>
      <c r="H6152" s="12" t="inlineStr">
        <is>
          <t xml:space="preserve">CO2 compression 3 x ~19 MW + dehydration: rooftop HVAC, exhaust fans, </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Tray</t>
        </is>
      </c>
      <c r="T6152" s="15" t="n">
        <v>1744</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C-C-0130</t>
        </is>
      </c>
      <c r="B6153" s="12" t="inlineStr">
        <is>
          <t>C</t>
        </is>
      </c>
      <c r="C6153" s="12" t="inlineStr">
        <is>
          <t>Grid interface</t>
        </is>
      </c>
      <c r="D6153" s="12" t="inlineStr">
        <is>
          <t>Motor 3 of 10: control / local station</t>
        </is>
      </c>
      <c r="E6153" s="12" t="inlineStr">
        <is>
          <t>MCC-C1</t>
        </is>
      </c>
      <c r="F6153" s="12" t="inlineStr">
        <is>
          <t>R1 MCC-C1</t>
        </is>
      </c>
      <c r="G6153" s="12" t="inlineStr"/>
      <c r="H6153" s="12" t="inlineStr">
        <is>
          <t xml:space="preserve">CO2 compression 3 x ~19 MW + dehydration: rooftop HVAC, exhaust fans, </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Tray</t>
        </is>
      </c>
      <c r="T6153" s="15" t="n">
        <v>1744</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C-C-0131</t>
        </is>
      </c>
      <c r="B6154" s="12" t="inlineStr">
        <is>
          <t>C</t>
        </is>
      </c>
      <c r="C6154" s="12" t="inlineStr">
        <is>
          <t>Grid interface</t>
        </is>
      </c>
      <c r="D6154" s="12" t="inlineStr">
        <is>
          <t>Motor 4 of 10: control / local station</t>
        </is>
      </c>
      <c r="E6154" s="12" t="inlineStr">
        <is>
          <t>MCC-C1</t>
        </is>
      </c>
      <c r="F6154" s="12" t="inlineStr">
        <is>
          <t>R1 MCC-C1</t>
        </is>
      </c>
      <c r="G6154" s="12" t="inlineStr"/>
      <c r="H6154" s="12" t="inlineStr">
        <is>
          <t xml:space="preserve">CO2 compression 3 x ~19 MW + dehydration: rooftop HVAC, exhaust fans, </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Tray</t>
        </is>
      </c>
      <c r="T6154" s="15" t="n">
        <v>1744</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C-C-0132</t>
        </is>
      </c>
      <c r="B6155" s="12" t="inlineStr">
        <is>
          <t>C</t>
        </is>
      </c>
      <c r="C6155" s="12" t="inlineStr">
        <is>
          <t>Grid interface</t>
        </is>
      </c>
      <c r="D6155" s="12" t="inlineStr">
        <is>
          <t>Motor 5 of 10: control / local station</t>
        </is>
      </c>
      <c r="E6155" s="12" t="inlineStr">
        <is>
          <t>MCC-C1</t>
        </is>
      </c>
      <c r="F6155" s="12" t="inlineStr">
        <is>
          <t>R1 MCC-C1</t>
        </is>
      </c>
      <c r="G6155" s="12" t="inlineStr"/>
      <c r="H6155" s="12" t="inlineStr">
        <is>
          <t xml:space="preserve">CO2 compression 3 x ~19 MW + dehydration: rooftop HVAC, exhaust fans, </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Tray</t>
        </is>
      </c>
      <c r="T6155" s="15" t="n">
        <v>1744</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C-C-0133</t>
        </is>
      </c>
      <c r="B6156" s="12" t="inlineStr">
        <is>
          <t>C</t>
        </is>
      </c>
      <c r="C6156" s="12" t="inlineStr">
        <is>
          <t>Grid interface</t>
        </is>
      </c>
      <c r="D6156" s="12" t="inlineStr">
        <is>
          <t>Motor 6 of 10: control / local station</t>
        </is>
      </c>
      <c r="E6156" s="12" t="inlineStr">
        <is>
          <t>MCC-C1</t>
        </is>
      </c>
      <c r="F6156" s="12" t="inlineStr">
        <is>
          <t>R1 MCC-C1</t>
        </is>
      </c>
      <c r="G6156" s="12" t="inlineStr"/>
      <c r="H6156" s="12" t="inlineStr">
        <is>
          <t xml:space="preserve">CO2 compression 3 x ~19 MW + dehydration: rooftop HVAC, exhaust fans, </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Tray</t>
        </is>
      </c>
      <c r="T6156" s="15" t="n">
        <v>1744</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C-C-0134</t>
        </is>
      </c>
      <c r="B6157" s="12" t="inlineStr">
        <is>
          <t>C</t>
        </is>
      </c>
      <c r="C6157" s="12" t="inlineStr">
        <is>
          <t>Grid interface</t>
        </is>
      </c>
      <c r="D6157" s="12" t="inlineStr">
        <is>
          <t>Motor 7 of 10: control / local station</t>
        </is>
      </c>
      <c r="E6157" s="12" t="inlineStr">
        <is>
          <t>MCC-C1</t>
        </is>
      </c>
      <c r="F6157" s="12" t="inlineStr">
        <is>
          <t>R1 MCC-C1</t>
        </is>
      </c>
      <c r="G6157" s="12" t="inlineStr"/>
      <c r="H6157" s="12" t="inlineStr">
        <is>
          <t xml:space="preserve">CO2 compression 3 x ~19 MW + dehydration: rooftop HVAC, exhaust fans, </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Tray</t>
        </is>
      </c>
      <c r="T6157" s="15" t="n">
        <v>1744</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C-C-0135</t>
        </is>
      </c>
      <c r="B6158" s="12" t="inlineStr">
        <is>
          <t>C</t>
        </is>
      </c>
      <c r="C6158" s="12" t="inlineStr">
        <is>
          <t>Grid interface</t>
        </is>
      </c>
      <c r="D6158" s="12" t="inlineStr">
        <is>
          <t>Motor 8 of 10: control / local station</t>
        </is>
      </c>
      <c r="E6158" s="12" t="inlineStr">
        <is>
          <t>MCC-C1</t>
        </is>
      </c>
      <c r="F6158" s="12" t="inlineStr">
        <is>
          <t>R1 MCC-C1</t>
        </is>
      </c>
      <c r="G6158" s="12" t="inlineStr"/>
      <c r="H6158" s="12" t="inlineStr">
        <is>
          <t xml:space="preserve">CO2 compression 3 x ~19 MW + dehydration: rooftop HVAC, exhaust fans, </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Tray</t>
        </is>
      </c>
      <c r="T6158" s="15" t="n">
        <v>1744</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C-C-0136</t>
        </is>
      </c>
      <c r="B6159" s="12" t="inlineStr">
        <is>
          <t>C</t>
        </is>
      </c>
      <c r="C6159" s="12" t="inlineStr">
        <is>
          <t>Grid interface</t>
        </is>
      </c>
      <c r="D6159" s="12" t="inlineStr">
        <is>
          <t>Motor 9 of 10: control / local station</t>
        </is>
      </c>
      <c r="E6159" s="12" t="inlineStr">
        <is>
          <t>MCC-C1</t>
        </is>
      </c>
      <c r="F6159" s="12" t="inlineStr">
        <is>
          <t>R1 MCC-C1</t>
        </is>
      </c>
      <c r="G6159" s="12" t="inlineStr"/>
      <c r="H6159" s="12" t="inlineStr">
        <is>
          <t xml:space="preserve">CO2 compression 3 x ~19 MW + dehydration: rooftop HVAC, exhaust fans, </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Tray</t>
        </is>
      </c>
      <c r="T6159" s="15" t="n">
        <v>1744</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C-C-0137</t>
        </is>
      </c>
      <c r="B6160" s="12" t="inlineStr">
        <is>
          <t>C</t>
        </is>
      </c>
      <c r="C6160" s="12" t="inlineStr">
        <is>
          <t>Grid interface</t>
        </is>
      </c>
      <c r="D6160" s="12" t="inlineStr">
        <is>
          <t>Motor 10 of 10: control / local station</t>
        </is>
      </c>
      <c r="E6160" s="12" t="inlineStr">
        <is>
          <t>MCC-C1</t>
        </is>
      </c>
      <c r="F6160" s="12" t="inlineStr">
        <is>
          <t>R1 MCC-C1</t>
        </is>
      </c>
      <c r="G6160" s="12" t="inlineStr"/>
      <c r="H6160" s="12" t="inlineStr">
        <is>
          <t xml:space="preserve">CO2 compression 3 x ~19 MW + dehydration: rooftop HVAC, exhaust fans, </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Tray</t>
        </is>
      </c>
      <c r="T6160" s="15" t="n">
        <v>1744</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C-C-0138</t>
        </is>
      </c>
      <c r="B6161" s="12" t="inlineStr">
        <is>
          <t>C</t>
        </is>
      </c>
      <c r="C6161" s="12" t="inlineStr">
        <is>
          <t>Grid interface</t>
        </is>
      </c>
      <c r="D6161" s="12" t="inlineStr">
        <is>
          <t>Motor 1 of 2: control / local station</t>
        </is>
      </c>
      <c r="E6161" s="12" t="inlineStr">
        <is>
          <t>MCC-C1</t>
        </is>
      </c>
      <c r="F6161" s="12" t="inlineStr">
        <is>
          <t>R1 MCC-C1</t>
        </is>
      </c>
      <c r="G6161" s="12" t="inlineStr"/>
      <c r="H6161" s="12" t="inlineStr">
        <is>
          <t>Small-bore piping: instrument air, service water, nitrogen, HRSG drain</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Tray</t>
        </is>
      </c>
      <c r="T6161" s="15" t="n">
        <v>614</v>
      </c>
      <c r="U6161" s="15" t="n">
        <v>145</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C-C-0139</t>
        </is>
      </c>
      <c r="B6162" s="12" t="inlineStr">
        <is>
          <t>C</t>
        </is>
      </c>
      <c r="C6162" s="12" t="inlineStr">
        <is>
          <t>Grid interface</t>
        </is>
      </c>
      <c r="D6162" s="12" t="inlineStr">
        <is>
          <t>Motor 2 of 2: control / local station</t>
        </is>
      </c>
      <c r="E6162" s="12" t="inlineStr">
        <is>
          <t>MCC-C1</t>
        </is>
      </c>
      <c r="F6162" s="12" t="inlineStr">
        <is>
          <t>R1 MCC-C1</t>
        </is>
      </c>
      <c r="G6162" s="12" t="inlineStr"/>
      <c r="H6162" s="12" t="inlineStr">
        <is>
          <t>Small-bore piping: instrument air, service water, nitrogen, HRSG drain</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Tray</t>
        </is>
      </c>
      <c r="T6162" s="15" t="n">
        <v>614</v>
      </c>
      <c r="U6162" s="15" t="n">
        <v>145</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C-C-0140</t>
        </is>
      </c>
      <c r="B6163" s="12" t="inlineStr">
        <is>
          <t>C</t>
        </is>
      </c>
      <c r="C6163" s="12" t="inlineStr">
        <is>
          <t>Grid interface</t>
        </is>
      </c>
      <c r="D6163" s="12" t="inlineStr">
        <is>
          <t>Motor 1 of 8: control / local station</t>
        </is>
      </c>
      <c r="E6163" s="12" t="inlineStr">
        <is>
          <t>MCC-C1</t>
        </is>
      </c>
      <c r="F6163" s="12" t="inlineStr">
        <is>
          <t>R1 MCC-C1</t>
        </is>
      </c>
      <c r="G6163" s="12" t="inlineStr"/>
      <c r="H6163" s="12" t="inlineStr">
        <is>
          <t>Wastewater treatment: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1859</v>
      </c>
      <c r="U6163" s="15" t="n">
        <v>228</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C-C-0141</t>
        </is>
      </c>
      <c r="B6164" s="12" t="inlineStr">
        <is>
          <t>C</t>
        </is>
      </c>
      <c r="C6164" s="12" t="inlineStr">
        <is>
          <t>Grid interface</t>
        </is>
      </c>
      <c r="D6164" s="12" t="inlineStr">
        <is>
          <t>Motor 2 of 8: control / local station</t>
        </is>
      </c>
      <c r="E6164" s="12" t="inlineStr">
        <is>
          <t>MCC-C1</t>
        </is>
      </c>
      <c r="F6164" s="12" t="inlineStr">
        <is>
          <t>R1 MCC-C1</t>
        </is>
      </c>
      <c r="G6164" s="12" t="inlineStr"/>
      <c r="H6164" s="12" t="inlineStr">
        <is>
          <t>Wastewater treatment: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1859</v>
      </c>
      <c r="U6164" s="15" t="n">
        <v>228</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C-C-0142</t>
        </is>
      </c>
      <c r="B6165" s="12" t="inlineStr">
        <is>
          <t>C</t>
        </is>
      </c>
      <c r="C6165" s="12" t="inlineStr">
        <is>
          <t>Grid interface</t>
        </is>
      </c>
      <c r="D6165" s="12" t="inlineStr">
        <is>
          <t>Motor 3 of 8: control / local station</t>
        </is>
      </c>
      <c r="E6165" s="12" t="inlineStr">
        <is>
          <t>MCC-C1</t>
        </is>
      </c>
      <c r="F6165" s="12" t="inlineStr">
        <is>
          <t>R1 MCC-C1</t>
        </is>
      </c>
      <c r="G6165" s="12" t="inlineStr"/>
      <c r="H6165" s="12" t="inlineStr">
        <is>
          <t>Wastewater treatment: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1859</v>
      </c>
      <c r="U6165" s="15" t="n">
        <v>228</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C-C-0143</t>
        </is>
      </c>
      <c r="B6166" s="12" t="inlineStr">
        <is>
          <t>C</t>
        </is>
      </c>
      <c r="C6166" s="12" t="inlineStr">
        <is>
          <t>Grid interface</t>
        </is>
      </c>
      <c r="D6166" s="12" t="inlineStr">
        <is>
          <t>Motor 4 of 8: control / local station</t>
        </is>
      </c>
      <c r="E6166" s="12" t="inlineStr">
        <is>
          <t>MCC-C1</t>
        </is>
      </c>
      <c r="F6166" s="12" t="inlineStr">
        <is>
          <t>R1 MCC-C1</t>
        </is>
      </c>
      <c r="G6166" s="12" t="inlineStr"/>
      <c r="H6166" s="12" t="inlineStr">
        <is>
          <t>Wastewater treatment: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1859</v>
      </c>
      <c r="U6166" s="15" t="n">
        <v>228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C-C-0144</t>
        </is>
      </c>
      <c r="B6167" s="12" t="inlineStr">
        <is>
          <t>C</t>
        </is>
      </c>
      <c r="C6167" s="12" t="inlineStr">
        <is>
          <t>Grid interface</t>
        </is>
      </c>
      <c r="D6167" s="12" t="inlineStr">
        <is>
          <t>Motor 5 of 8: control / local station</t>
        </is>
      </c>
      <c r="E6167" s="12" t="inlineStr">
        <is>
          <t>MCC-C1</t>
        </is>
      </c>
      <c r="F6167" s="12" t="inlineStr">
        <is>
          <t>R1 MCC-C1</t>
        </is>
      </c>
      <c r="G6167" s="12" t="inlineStr"/>
      <c r="H6167" s="12" t="inlineStr">
        <is>
          <t>Wastewater treatment: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1859</v>
      </c>
      <c r="U6167" s="15" t="n">
        <v>228</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C-C-0145</t>
        </is>
      </c>
      <c r="B6168" s="12" t="inlineStr">
        <is>
          <t>C</t>
        </is>
      </c>
      <c r="C6168" s="12" t="inlineStr">
        <is>
          <t>Grid interface</t>
        </is>
      </c>
      <c r="D6168" s="12" t="inlineStr">
        <is>
          <t>Motor 6 of 8: control / local station</t>
        </is>
      </c>
      <c r="E6168" s="12" t="inlineStr">
        <is>
          <t>MCC-C1</t>
        </is>
      </c>
      <c r="F6168" s="12" t="inlineStr">
        <is>
          <t>R1 MCC-C1</t>
        </is>
      </c>
      <c r="G6168" s="12" t="inlineStr"/>
      <c r="H6168" s="12" t="inlineStr">
        <is>
          <t>Wastewater treatment: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1859</v>
      </c>
      <c r="U6168" s="15" t="n">
        <v>228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C-C-0146</t>
        </is>
      </c>
      <c r="B6169" s="12" t="inlineStr">
        <is>
          <t>C</t>
        </is>
      </c>
      <c r="C6169" s="12" t="inlineStr">
        <is>
          <t>Grid interface</t>
        </is>
      </c>
      <c r="D6169" s="12" t="inlineStr">
        <is>
          <t>Motor 7 of 8: control / local station</t>
        </is>
      </c>
      <c r="E6169" s="12" t="inlineStr">
        <is>
          <t>MCC-C1</t>
        </is>
      </c>
      <c r="F6169" s="12" t="inlineStr">
        <is>
          <t>R1 MCC-C1</t>
        </is>
      </c>
      <c r="G6169" s="12" t="inlineStr"/>
      <c r="H6169" s="12" t="inlineStr">
        <is>
          <t>Wastewater treatment: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1859</v>
      </c>
      <c r="U6169" s="15" t="n">
        <v>228</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C-C-0147</t>
        </is>
      </c>
      <c r="B6170" s="12" t="inlineStr">
        <is>
          <t>C</t>
        </is>
      </c>
      <c r="C6170" s="12" t="inlineStr">
        <is>
          <t>Grid interface</t>
        </is>
      </c>
      <c r="D6170" s="12" t="inlineStr">
        <is>
          <t>Motor 8 of 8: control / local station</t>
        </is>
      </c>
      <c r="E6170" s="12" t="inlineStr">
        <is>
          <t>MCC-C1</t>
        </is>
      </c>
      <c r="F6170" s="12" t="inlineStr">
        <is>
          <t>R1 MCC-C1</t>
        </is>
      </c>
      <c r="G6170" s="12" t="inlineStr"/>
      <c r="H6170" s="12" t="inlineStr">
        <is>
          <t>Wastewater treatment: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1859</v>
      </c>
      <c r="U6170" s="15" t="n">
        <v>228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C-C-0148</t>
        </is>
      </c>
      <c r="B6171" s="12" t="inlineStr">
        <is>
          <t>C</t>
        </is>
      </c>
      <c r="C6171" s="12" t="inlineStr">
        <is>
          <t>Grid interface</t>
        </is>
      </c>
      <c r="D6171" s="12" t="inlineStr">
        <is>
          <t>Motor 1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C-C-0149</t>
        </is>
      </c>
      <c r="B6172" s="12" t="inlineStr">
        <is>
          <t>C</t>
        </is>
      </c>
      <c r="C6172" s="12" t="inlineStr">
        <is>
          <t>Grid interface</t>
        </is>
      </c>
      <c r="D6172" s="12" t="inlineStr">
        <is>
          <t>Motor 2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C-C-0150</t>
        </is>
      </c>
      <c r="B6173" s="12" t="inlineStr">
        <is>
          <t>C</t>
        </is>
      </c>
      <c r="C6173" s="12" t="inlineStr">
        <is>
          <t>Grid interface</t>
        </is>
      </c>
      <c r="D6173" s="12" t="inlineStr">
        <is>
          <t>Motor 3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C-C-0151</t>
        </is>
      </c>
      <c r="B6174" s="12" t="inlineStr">
        <is>
          <t>C</t>
        </is>
      </c>
      <c r="C6174" s="12" t="inlineStr">
        <is>
          <t>Grid interface</t>
        </is>
      </c>
      <c r="D6174" s="12" t="inlineStr">
        <is>
          <t>Motor 4 of 20: control / local station</t>
        </is>
      </c>
      <c r="E6174" s="12" t="inlineStr">
        <is>
          <t>MCC-C1</t>
        </is>
      </c>
      <c r="F6174" s="12" t="inlineStr">
        <is>
          <t>R1 MCC-C1</t>
        </is>
      </c>
      <c r="G6174" s="12" t="inlineStr"/>
      <c r="H6174" s="12" t="inlineStr">
        <is>
          <t>Water treatment building: rooftop HVAC, exhaust fans, vents</t>
        </is>
      </c>
      <c r="I6174" s="12" t="inlineStr">
        <is>
          <t>Control</t>
        </is>
      </c>
      <c r="J6174" s="12" t="inlineStr">
        <is>
          <t>Control cable 600 V Type TC-ER, Cu #14 AWG, PVC jacket</t>
        </is>
      </c>
      <c r="K6174" s="12" t="inlineStr">
        <is>
          <t>CT|7/C|14</t>
        </is>
      </c>
      <c r="L6174" s="12" t="inlineStr">
        <is>
          <t>7/C</t>
        </is>
      </c>
      <c r="M6174" s="12" t="inlineStr">
        <is>
          <t>14</t>
        </is>
      </c>
      <c r="N6174" s="12" t="n">
        <v>1</v>
      </c>
      <c r="O6174" s="12" t="n">
        <v>1</v>
      </c>
      <c r="P6174" s="12" t="n"/>
      <c r="Q6174" s="12" t="n"/>
      <c r="R6174" s="12" t="n"/>
      <c r="S6174" s="12" t="inlineStr">
        <is>
          <t>Duct bank</t>
        </is>
      </c>
      <c r="T6174" s="15" t="n">
        <v>1629</v>
      </c>
      <c r="U6174" s="15" t="n">
        <v>161</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C-C-0152</t>
        </is>
      </c>
      <c r="B6175" s="12" t="inlineStr">
        <is>
          <t>C</t>
        </is>
      </c>
      <c r="C6175" s="12" t="inlineStr">
        <is>
          <t>Grid interface</t>
        </is>
      </c>
      <c r="D6175" s="12" t="inlineStr">
        <is>
          <t>Motor 5 of 20: control / local station</t>
        </is>
      </c>
      <c r="E6175" s="12" t="inlineStr">
        <is>
          <t>MCC-C1</t>
        </is>
      </c>
      <c r="F6175" s="12" t="inlineStr">
        <is>
          <t>R1 MCC-C1</t>
        </is>
      </c>
      <c r="G6175" s="12" t="inlineStr"/>
      <c r="H6175" s="12" t="inlineStr">
        <is>
          <t>Water treatment building: rooftop HVAC, exhaust fans, vents</t>
        </is>
      </c>
      <c r="I6175" s="12" t="inlineStr">
        <is>
          <t>Control</t>
        </is>
      </c>
      <c r="J6175" s="12" t="inlineStr">
        <is>
          <t>Control cable 600 V Type TC-ER, Cu #14 AWG, PVC jacket</t>
        </is>
      </c>
      <c r="K6175" s="12" t="inlineStr">
        <is>
          <t>CT|7/C|14</t>
        </is>
      </c>
      <c r="L6175" s="12" t="inlineStr">
        <is>
          <t>7/C</t>
        </is>
      </c>
      <c r="M6175" s="12" t="inlineStr">
        <is>
          <t>14</t>
        </is>
      </c>
      <c r="N6175" s="12" t="n">
        <v>1</v>
      </c>
      <c r="O6175" s="12" t="n">
        <v>1</v>
      </c>
      <c r="P6175" s="12" t="n"/>
      <c r="Q6175" s="12" t="n"/>
      <c r="R6175" s="12" t="n"/>
      <c r="S6175" s="12" t="inlineStr">
        <is>
          <t>Duct bank</t>
        </is>
      </c>
      <c r="T6175" s="15" t="n">
        <v>1629</v>
      </c>
      <c r="U6175" s="15" t="n">
        <v>161</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C-C-0153</t>
        </is>
      </c>
      <c r="B6176" s="12" t="inlineStr">
        <is>
          <t>C</t>
        </is>
      </c>
      <c r="C6176" s="12" t="inlineStr">
        <is>
          <t>Grid interface</t>
        </is>
      </c>
      <c r="D6176" s="12" t="inlineStr">
        <is>
          <t>Motor 6 of 20: control / local station</t>
        </is>
      </c>
      <c r="E6176" s="12" t="inlineStr">
        <is>
          <t>MCC-C1</t>
        </is>
      </c>
      <c r="F6176" s="12" t="inlineStr">
        <is>
          <t>R1 MCC-C1</t>
        </is>
      </c>
      <c r="G6176" s="12" t="inlineStr"/>
      <c r="H6176" s="12" t="inlineStr">
        <is>
          <t>Water treatment building: rooftop HVAC, exhaust fans, vents</t>
        </is>
      </c>
      <c r="I6176" s="12" t="inlineStr">
        <is>
          <t>Control</t>
        </is>
      </c>
      <c r="J6176" s="12" t="inlineStr">
        <is>
          <t>Control cable 600 V Type TC-ER, Cu #14 AWG, PVC jacket</t>
        </is>
      </c>
      <c r="K6176" s="12" t="inlineStr">
        <is>
          <t>CT|7/C|14</t>
        </is>
      </c>
      <c r="L6176" s="12" t="inlineStr">
        <is>
          <t>7/C</t>
        </is>
      </c>
      <c r="M6176" s="12" t="inlineStr">
        <is>
          <t>14</t>
        </is>
      </c>
      <c r="N6176" s="12" t="n">
        <v>1</v>
      </c>
      <c r="O6176" s="12" t="n">
        <v>1</v>
      </c>
      <c r="P6176" s="12" t="n"/>
      <c r="Q6176" s="12" t="n"/>
      <c r="R6176" s="12" t="n"/>
      <c r="S6176" s="12" t="inlineStr">
        <is>
          <t>Duct bank</t>
        </is>
      </c>
      <c r="T6176" s="15" t="n">
        <v>1629</v>
      </c>
      <c r="U6176" s="15" t="n">
        <v>161</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C-C-0154</t>
        </is>
      </c>
      <c r="B6177" s="12" t="inlineStr">
        <is>
          <t>C</t>
        </is>
      </c>
      <c r="C6177" s="12" t="inlineStr">
        <is>
          <t>Grid interface</t>
        </is>
      </c>
      <c r="D6177" s="12" t="inlineStr">
        <is>
          <t>Motor 7 of 20: control / local station</t>
        </is>
      </c>
      <c r="E6177" s="12" t="inlineStr">
        <is>
          <t>MCC-C1</t>
        </is>
      </c>
      <c r="F6177" s="12" t="inlineStr">
        <is>
          <t>R1 MCC-C1</t>
        </is>
      </c>
      <c r="G6177" s="12" t="inlineStr"/>
      <c r="H6177" s="12" t="inlineStr">
        <is>
          <t>Water treatment building: rooftop HVAC, exhaust fans, vents</t>
        </is>
      </c>
      <c r="I6177" s="12" t="inlineStr">
        <is>
          <t>Control</t>
        </is>
      </c>
      <c r="J6177" s="12" t="inlineStr">
        <is>
          <t>Control cable 600 V Type TC-ER, Cu #14 AWG, PVC jacket</t>
        </is>
      </c>
      <c r="K6177" s="12" t="inlineStr">
        <is>
          <t>CT|7/C|14</t>
        </is>
      </c>
      <c r="L6177" s="12" t="inlineStr">
        <is>
          <t>7/C</t>
        </is>
      </c>
      <c r="M6177" s="12" t="inlineStr">
        <is>
          <t>14</t>
        </is>
      </c>
      <c r="N6177" s="12" t="n">
        <v>1</v>
      </c>
      <c r="O6177" s="12" t="n">
        <v>1</v>
      </c>
      <c r="P6177" s="12" t="n"/>
      <c r="Q6177" s="12" t="n"/>
      <c r="R6177" s="12" t="n"/>
      <c r="S6177" s="12" t="inlineStr">
        <is>
          <t>Duct bank</t>
        </is>
      </c>
      <c r="T6177" s="15" t="n">
        <v>1629</v>
      </c>
      <c r="U6177" s="15" t="n">
        <v>161</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C-C-0155</t>
        </is>
      </c>
      <c r="B6178" s="12" t="inlineStr">
        <is>
          <t>C</t>
        </is>
      </c>
      <c r="C6178" s="12" t="inlineStr">
        <is>
          <t>Grid interface</t>
        </is>
      </c>
      <c r="D6178" s="12" t="inlineStr">
        <is>
          <t>Motor 8 of 20: control / local station</t>
        </is>
      </c>
      <c r="E6178" s="12" t="inlineStr">
        <is>
          <t>MCC-C1</t>
        </is>
      </c>
      <c r="F6178" s="12" t="inlineStr">
        <is>
          <t>R1 MCC-C1</t>
        </is>
      </c>
      <c r="G6178" s="12" t="inlineStr"/>
      <c r="H6178" s="12" t="inlineStr">
        <is>
          <t>Water treatment building: rooftop HVAC, exhaust fans, vents</t>
        </is>
      </c>
      <c r="I6178" s="12" t="inlineStr">
        <is>
          <t>Control</t>
        </is>
      </c>
      <c r="J6178" s="12" t="inlineStr">
        <is>
          <t>Control cable 600 V Type TC-ER, Cu #14 AWG, PVC jacket</t>
        </is>
      </c>
      <c r="K6178" s="12" t="inlineStr">
        <is>
          <t>CT|7/C|14</t>
        </is>
      </c>
      <c r="L6178" s="12" t="inlineStr">
        <is>
          <t>7/C</t>
        </is>
      </c>
      <c r="M6178" s="12" t="inlineStr">
        <is>
          <t>14</t>
        </is>
      </c>
      <c r="N6178" s="12" t="n">
        <v>1</v>
      </c>
      <c r="O6178" s="12" t="n">
        <v>1</v>
      </c>
      <c r="P6178" s="12" t="n"/>
      <c r="Q6178" s="12" t="n"/>
      <c r="R6178" s="12" t="n"/>
      <c r="S6178" s="12" t="inlineStr">
        <is>
          <t>Duct bank</t>
        </is>
      </c>
      <c r="T6178" s="15" t="n">
        <v>1629</v>
      </c>
      <c r="U6178" s="15" t="n">
        <v>161</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C-C-0156</t>
        </is>
      </c>
      <c r="B6179" s="12" t="inlineStr">
        <is>
          <t>C</t>
        </is>
      </c>
      <c r="C6179" s="12" t="inlineStr">
        <is>
          <t>Grid interface</t>
        </is>
      </c>
      <c r="D6179" s="12" t="inlineStr">
        <is>
          <t>Motor 9 of 20: control / local station</t>
        </is>
      </c>
      <c r="E6179" s="12" t="inlineStr">
        <is>
          <t>MCC-C1</t>
        </is>
      </c>
      <c r="F6179" s="12" t="inlineStr">
        <is>
          <t>R1 MCC-C1</t>
        </is>
      </c>
      <c r="G6179" s="12" t="inlineStr"/>
      <c r="H6179" s="12" t="inlineStr">
        <is>
          <t>Water treatment building: rooftop HVAC, exhaust fans, vents</t>
        </is>
      </c>
      <c r="I6179" s="12" t="inlineStr">
        <is>
          <t>Control</t>
        </is>
      </c>
      <c r="J6179" s="12" t="inlineStr">
        <is>
          <t>Control cable 600 V Type TC-ER, Cu #14 AWG, PVC jacket</t>
        </is>
      </c>
      <c r="K6179" s="12" t="inlineStr">
        <is>
          <t>CT|7/C|14</t>
        </is>
      </c>
      <c r="L6179" s="12" t="inlineStr">
        <is>
          <t>7/C</t>
        </is>
      </c>
      <c r="M6179" s="12" t="inlineStr">
        <is>
          <t>14</t>
        </is>
      </c>
      <c r="N6179" s="12" t="n">
        <v>1</v>
      </c>
      <c r="O6179" s="12" t="n">
        <v>1</v>
      </c>
      <c r="P6179" s="12" t="n"/>
      <c r="Q6179" s="12" t="n"/>
      <c r="R6179" s="12" t="n"/>
      <c r="S6179" s="12" t="inlineStr">
        <is>
          <t>Duct bank</t>
        </is>
      </c>
      <c r="T6179" s="15" t="n">
        <v>1629</v>
      </c>
      <c r="U6179" s="15" t="n">
        <v>161</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C-C-0157</t>
        </is>
      </c>
      <c r="B6180" s="12" t="inlineStr">
        <is>
          <t>C</t>
        </is>
      </c>
      <c r="C6180" s="12" t="inlineStr">
        <is>
          <t>Grid interface</t>
        </is>
      </c>
      <c r="D6180" s="12" t="inlineStr">
        <is>
          <t>Motor 10 of 20: control / local station</t>
        </is>
      </c>
      <c r="E6180" s="12" t="inlineStr">
        <is>
          <t>MCC-C1</t>
        </is>
      </c>
      <c r="F6180" s="12" t="inlineStr">
        <is>
          <t>R1 MCC-C1</t>
        </is>
      </c>
      <c r="G6180" s="12" t="inlineStr"/>
      <c r="H6180" s="12" t="inlineStr">
        <is>
          <t>Water treatment building: rooftop HVAC, exhaust fans, vents</t>
        </is>
      </c>
      <c r="I6180" s="12" t="inlineStr">
        <is>
          <t>Control</t>
        </is>
      </c>
      <c r="J6180" s="12" t="inlineStr">
        <is>
          <t>Control cable 600 V Type TC-ER, Cu #14 AWG, PVC jacket</t>
        </is>
      </c>
      <c r="K6180" s="12" t="inlineStr">
        <is>
          <t>CT|7/C|14</t>
        </is>
      </c>
      <c r="L6180" s="12" t="inlineStr">
        <is>
          <t>7/C</t>
        </is>
      </c>
      <c r="M6180" s="12" t="inlineStr">
        <is>
          <t>14</t>
        </is>
      </c>
      <c r="N6180" s="12" t="n">
        <v>1</v>
      </c>
      <c r="O6180" s="12" t="n">
        <v>1</v>
      </c>
      <c r="P6180" s="12" t="n"/>
      <c r="Q6180" s="12" t="n"/>
      <c r="R6180" s="12" t="n"/>
      <c r="S6180" s="12" t="inlineStr">
        <is>
          <t>Duct bank</t>
        </is>
      </c>
      <c r="T6180" s="15" t="n">
        <v>1629</v>
      </c>
      <c r="U6180" s="15" t="n">
        <v>161</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C-C-0158</t>
        </is>
      </c>
      <c r="B6181" s="12" t="inlineStr">
        <is>
          <t>C</t>
        </is>
      </c>
      <c r="C6181" s="12" t="inlineStr">
        <is>
          <t>Grid interface</t>
        </is>
      </c>
      <c r="D6181" s="12" t="inlineStr">
        <is>
          <t>Motor 11 of 20: control / local station</t>
        </is>
      </c>
      <c r="E6181" s="12" t="inlineStr">
        <is>
          <t>MCC-C1</t>
        </is>
      </c>
      <c r="F6181" s="12" t="inlineStr">
        <is>
          <t>R1 MCC-C1</t>
        </is>
      </c>
      <c r="G6181" s="12" t="inlineStr"/>
      <c r="H6181" s="12" t="inlineStr">
        <is>
          <t>Water treatment building: rooftop HVAC, exhaust fans, vents</t>
        </is>
      </c>
      <c r="I6181" s="12" t="inlineStr">
        <is>
          <t>Control</t>
        </is>
      </c>
      <c r="J6181" s="12" t="inlineStr">
        <is>
          <t>Control cable 600 V Type TC-ER, Cu #14 AWG, PVC jacket</t>
        </is>
      </c>
      <c r="K6181" s="12" t="inlineStr">
        <is>
          <t>CT|7/C|14</t>
        </is>
      </c>
      <c r="L6181" s="12" t="inlineStr">
        <is>
          <t>7/C</t>
        </is>
      </c>
      <c r="M6181" s="12" t="inlineStr">
        <is>
          <t>14</t>
        </is>
      </c>
      <c r="N6181" s="12" t="n">
        <v>1</v>
      </c>
      <c r="O6181" s="12" t="n">
        <v>1</v>
      </c>
      <c r="P6181" s="12" t="n"/>
      <c r="Q6181" s="12" t="n"/>
      <c r="R6181" s="12" t="n"/>
      <c r="S6181" s="12" t="inlineStr">
        <is>
          <t>Duct bank</t>
        </is>
      </c>
      <c r="T6181" s="15" t="n">
        <v>1629</v>
      </c>
      <c r="U6181" s="15" t="n">
        <v>161</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C-C-0159</t>
        </is>
      </c>
      <c r="B6182" s="12" t="inlineStr">
        <is>
          <t>C</t>
        </is>
      </c>
      <c r="C6182" s="12" t="inlineStr">
        <is>
          <t>Grid interface</t>
        </is>
      </c>
      <c r="D6182" s="12" t="inlineStr">
        <is>
          <t>Motor 12 of 20: control / local station</t>
        </is>
      </c>
      <c r="E6182" s="12" t="inlineStr">
        <is>
          <t>MCC-C1</t>
        </is>
      </c>
      <c r="F6182" s="12" t="inlineStr">
        <is>
          <t>R1 MCC-C1</t>
        </is>
      </c>
      <c r="G6182" s="12" t="inlineStr"/>
      <c r="H6182" s="12" t="inlineStr">
        <is>
          <t>Water treatment building: rooftop HVAC, exhaust fans, vents</t>
        </is>
      </c>
      <c r="I6182" s="12" t="inlineStr">
        <is>
          <t>Control</t>
        </is>
      </c>
      <c r="J6182" s="12" t="inlineStr">
        <is>
          <t>Control cable 600 V Type TC-ER, Cu #14 AWG, PVC jacket</t>
        </is>
      </c>
      <c r="K6182" s="12" t="inlineStr">
        <is>
          <t>CT|7/C|14</t>
        </is>
      </c>
      <c r="L6182" s="12" t="inlineStr">
        <is>
          <t>7/C</t>
        </is>
      </c>
      <c r="M6182" s="12" t="inlineStr">
        <is>
          <t>14</t>
        </is>
      </c>
      <c r="N6182" s="12" t="n">
        <v>1</v>
      </c>
      <c r="O6182" s="12" t="n">
        <v>1</v>
      </c>
      <c r="P6182" s="12" t="n"/>
      <c r="Q6182" s="12" t="n"/>
      <c r="R6182" s="12" t="n"/>
      <c r="S6182" s="12" t="inlineStr">
        <is>
          <t>Duct bank</t>
        </is>
      </c>
      <c r="T6182" s="15" t="n">
        <v>1629</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C-C-0160</t>
        </is>
      </c>
      <c r="B6183" s="12" t="inlineStr">
        <is>
          <t>C</t>
        </is>
      </c>
      <c r="C6183" s="12" t="inlineStr">
        <is>
          <t>Grid interface</t>
        </is>
      </c>
      <c r="D6183" s="12" t="inlineStr">
        <is>
          <t>Motor 13 of 20: control / local station</t>
        </is>
      </c>
      <c r="E6183" s="12" t="inlineStr">
        <is>
          <t>MCC-C1</t>
        </is>
      </c>
      <c r="F6183" s="12" t="inlineStr">
        <is>
          <t>R1 MCC-C1</t>
        </is>
      </c>
      <c r="G6183" s="12" t="inlineStr"/>
      <c r="H6183" s="12" t="inlineStr">
        <is>
          <t>Water treatment building: rooftop HVAC, exhaust fans, vents</t>
        </is>
      </c>
      <c r="I6183" s="12" t="inlineStr">
        <is>
          <t>Control</t>
        </is>
      </c>
      <c r="J6183" s="12" t="inlineStr">
        <is>
          <t>Control cable 600 V Type TC-ER, Cu #14 AWG, PVC jacket</t>
        </is>
      </c>
      <c r="K6183" s="12" t="inlineStr">
        <is>
          <t>CT|7/C|14</t>
        </is>
      </c>
      <c r="L6183" s="12" t="inlineStr">
        <is>
          <t>7/C</t>
        </is>
      </c>
      <c r="M6183" s="12" t="inlineStr">
        <is>
          <t>14</t>
        </is>
      </c>
      <c r="N6183" s="12" t="n">
        <v>1</v>
      </c>
      <c r="O6183" s="12" t="n">
        <v>1</v>
      </c>
      <c r="P6183" s="12" t="n"/>
      <c r="Q6183" s="12" t="n"/>
      <c r="R6183" s="12" t="n"/>
      <c r="S6183" s="12" t="inlineStr">
        <is>
          <t>Duct bank</t>
        </is>
      </c>
      <c r="T6183" s="15" t="n">
        <v>1629</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C-C-0161</t>
        </is>
      </c>
      <c r="B6184" s="12" t="inlineStr">
        <is>
          <t>C</t>
        </is>
      </c>
      <c r="C6184" s="12" t="inlineStr">
        <is>
          <t>Grid interface</t>
        </is>
      </c>
      <c r="D6184" s="12" t="inlineStr">
        <is>
          <t>Motor 14 of 20: control / local station</t>
        </is>
      </c>
      <c r="E6184" s="12" t="inlineStr">
        <is>
          <t>MCC-C1</t>
        </is>
      </c>
      <c r="F6184" s="12" t="inlineStr">
        <is>
          <t>R1 MCC-C1</t>
        </is>
      </c>
      <c r="G6184" s="12" t="inlineStr"/>
      <c r="H6184" s="12" t="inlineStr">
        <is>
          <t>Water treatment building: rooftop HVAC, exhaust fans, vents</t>
        </is>
      </c>
      <c r="I6184" s="12" t="inlineStr">
        <is>
          <t>Control</t>
        </is>
      </c>
      <c r="J6184" s="12" t="inlineStr">
        <is>
          <t>Control cable 600 V Type TC-ER, Cu #14 AWG, PVC jacket</t>
        </is>
      </c>
      <c r="K6184" s="12" t="inlineStr">
        <is>
          <t>CT|7/C|14</t>
        </is>
      </c>
      <c r="L6184" s="12" t="inlineStr">
        <is>
          <t>7/C</t>
        </is>
      </c>
      <c r="M6184" s="12" t="inlineStr">
        <is>
          <t>14</t>
        </is>
      </c>
      <c r="N6184" s="12" t="n">
        <v>1</v>
      </c>
      <c r="O6184" s="12" t="n">
        <v>1</v>
      </c>
      <c r="P6184" s="12" t="n"/>
      <c r="Q6184" s="12" t="n"/>
      <c r="R6184" s="12" t="n"/>
      <c r="S6184" s="12" t="inlineStr">
        <is>
          <t>Duct bank</t>
        </is>
      </c>
      <c r="T6184" s="15" t="n">
        <v>1629</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C-C-0162</t>
        </is>
      </c>
      <c r="B6185" s="12" t="inlineStr">
        <is>
          <t>C</t>
        </is>
      </c>
      <c r="C6185" s="12" t="inlineStr">
        <is>
          <t>Grid interface</t>
        </is>
      </c>
      <c r="D6185" s="12" t="inlineStr">
        <is>
          <t>Motor 15 of 20: control / local station</t>
        </is>
      </c>
      <c r="E6185" s="12" t="inlineStr">
        <is>
          <t>MCC-C1</t>
        </is>
      </c>
      <c r="F6185" s="12" t="inlineStr">
        <is>
          <t>R1 MCC-C1</t>
        </is>
      </c>
      <c r="G6185" s="12" t="inlineStr"/>
      <c r="H6185" s="12" t="inlineStr">
        <is>
          <t>Water treatment building: rooftop HVAC, exhaust fans, vents</t>
        </is>
      </c>
      <c r="I6185" s="12" t="inlineStr">
        <is>
          <t>Control</t>
        </is>
      </c>
      <c r="J6185" s="12" t="inlineStr">
        <is>
          <t>Control cable 600 V Type TC-ER, Cu #14 AWG, PVC jacket</t>
        </is>
      </c>
      <c r="K6185" s="12" t="inlineStr">
        <is>
          <t>CT|7/C|14</t>
        </is>
      </c>
      <c r="L6185" s="12" t="inlineStr">
        <is>
          <t>7/C</t>
        </is>
      </c>
      <c r="M6185" s="12" t="inlineStr">
        <is>
          <t>14</t>
        </is>
      </c>
      <c r="N6185" s="12" t="n">
        <v>1</v>
      </c>
      <c r="O6185" s="12" t="n">
        <v>1</v>
      </c>
      <c r="P6185" s="12" t="n"/>
      <c r="Q6185" s="12" t="n"/>
      <c r="R6185" s="12" t="n"/>
      <c r="S6185" s="12" t="inlineStr">
        <is>
          <t>Duct bank</t>
        </is>
      </c>
      <c r="T6185" s="15" t="n">
        <v>1629</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C-C-0163</t>
        </is>
      </c>
      <c r="B6186" s="12" t="inlineStr">
        <is>
          <t>C</t>
        </is>
      </c>
      <c r="C6186" s="12" t="inlineStr">
        <is>
          <t>Grid interface</t>
        </is>
      </c>
      <c r="D6186" s="12" t="inlineStr">
        <is>
          <t>Motor 16 of 20: control / local station</t>
        </is>
      </c>
      <c r="E6186" s="12" t="inlineStr">
        <is>
          <t>MCC-C1</t>
        </is>
      </c>
      <c r="F6186" s="12" t="inlineStr">
        <is>
          <t>R1 MCC-C1</t>
        </is>
      </c>
      <c r="G6186" s="12" t="inlineStr"/>
      <c r="H6186" s="12" t="inlineStr">
        <is>
          <t>Water treatment building: rooftop HVAC, exhaust fans, vents</t>
        </is>
      </c>
      <c r="I6186" s="12" t="inlineStr">
        <is>
          <t>Control</t>
        </is>
      </c>
      <c r="J6186" s="12" t="inlineStr">
        <is>
          <t>Control cable 600 V Type TC-ER, Cu #14 AWG, PVC jacket</t>
        </is>
      </c>
      <c r="K6186" s="12" t="inlineStr">
        <is>
          <t>CT|7/C|14</t>
        </is>
      </c>
      <c r="L6186" s="12" t="inlineStr">
        <is>
          <t>7/C</t>
        </is>
      </c>
      <c r="M6186" s="12" t="inlineStr">
        <is>
          <t>14</t>
        </is>
      </c>
      <c r="N6186" s="12" t="n">
        <v>1</v>
      </c>
      <c r="O6186" s="12" t="n">
        <v>1</v>
      </c>
      <c r="P6186" s="12" t="n"/>
      <c r="Q6186" s="12" t="n"/>
      <c r="R6186" s="12" t="n"/>
      <c r="S6186" s="12" t="inlineStr">
        <is>
          <t>Duct bank</t>
        </is>
      </c>
      <c r="T6186" s="15" t="n">
        <v>1629</v>
      </c>
      <c r="U6186" s="15" t="n">
        <v>161</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C-C-0164</t>
        </is>
      </c>
      <c r="B6187" s="12" t="inlineStr">
        <is>
          <t>C</t>
        </is>
      </c>
      <c r="C6187" s="12" t="inlineStr">
        <is>
          <t>Grid interface</t>
        </is>
      </c>
      <c r="D6187" s="12" t="inlineStr">
        <is>
          <t>Motor 17 of 20: control / local station</t>
        </is>
      </c>
      <c r="E6187" s="12" t="inlineStr">
        <is>
          <t>MCC-C1</t>
        </is>
      </c>
      <c r="F6187" s="12" t="inlineStr">
        <is>
          <t>R1 MCC-C1</t>
        </is>
      </c>
      <c r="G6187" s="12" t="inlineStr"/>
      <c r="H6187" s="12" t="inlineStr">
        <is>
          <t>Water treatment building: rooftop HVAC, exhaust fans, vents</t>
        </is>
      </c>
      <c r="I6187" s="12" t="inlineStr">
        <is>
          <t>Control</t>
        </is>
      </c>
      <c r="J6187" s="12" t="inlineStr">
        <is>
          <t>Control cable 600 V Type TC-ER, Cu #14 AWG, PVC jacket</t>
        </is>
      </c>
      <c r="K6187" s="12" t="inlineStr">
        <is>
          <t>CT|7/C|14</t>
        </is>
      </c>
      <c r="L6187" s="12" t="inlineStr">
        <is>
          <t>7/C</t>
        </is>
      </c>
      <c r="M6187" s="12" t="inlineStr">
        <is>
          <t>14</t>
        </is>
      </c>
      <c r="N6187" s="12" t="n">
        <v>1</v>
      </c>
      <c r="O6187" s="12" t="n">
        <v>1</v>
      </c>
      <c r="P6187" s="12" t="n"/>
      <c r="Q6187" s="12" t="n"/>
      <c r="R6187" s="12" t="n"/>
      <c r="S6187" s="12" t="inlineStr">
        <is>
          <t>Duct bank</t>
        </is>
      </c>
      <c r="T6187" s="15" t="n">
        <v>1629</v>
      </c>
      <c r="U6187" s="15" t="n">
        <v>161</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C-C-0165</t>
        </is>
      </c>
      <c r="B6188" s="12" t="inlineStr">
        <is>
          <t>C</t>
        </is>
      </c>
      <c r="C6188" s="12" t="inlineStr">
        <is>
          <t>Grid interface</t>
        </is>
      </c>
      <c r="D6188" s="12" t="inlineStr">
        <is>
          <t>Motor 18 of 20: control / local station</t>
        </is>
      </c>
      <c r="E6188" s="12" t="inlineStr">
        <is>
          <t>MCC-C1</t>
        </is>
      </c>
      <c r="F6188" s="12" t="inlineStr">
        <is>
          <t>R1 MCC-C1</t>
        </is>
      </c>
      <c r="G6188" s="12" t="inlineStr"/>
      <c r="H6188" s="12" t="inlineStr">
        <is>
          <t>Water treatment building: rooftop HVAC, exhaust fans, vents</t>
        </is>
      </c>
      <c r="I6188" s="12" t="inlineStr">
        <is>
          <t>Control</t>
        </is>
      </c>
      <c r="J6188" s="12" t="inlineStr">
        <is>
          <t>Control cable 600 V Type TC-ER, Cu #14 AWG, PVC jacket</t>
        </is>
      </c>
      <c r="K6188" s="12" t="inlineStr">
        <is>
          <t>CT|7/C|14</t>
        </is>
      </c>
      <c r="L6188" s="12" t="inlineStr">
        <is>
          <t>7/C</t>
        </is>
      </c>
      <c r="M6188" s="12" t="inlineStr">
        <is>
          <t>14</t>
        </is>
      </c>
      <c r="N6188" s="12" t="n">
        <v>1</v>
      </c>
      <c r="O6188" s="12" t="n">
        <v>1</v>
      </c>
      <c r="P6188" s="12" t="n"/>
      <c r="Q6188" s="12" t="n"/>
      <c r="R6188" s="12" t="n"/>
      <c r="S6188" s="12" t="inlineStr">
        <is>
          <t>Duct bank</t>
        </is>
      </c>
      <c r="T6188" s="15" t="n">
        <v>1629</v>
      </c>
      <c r="U6188" s="15" t="n">
        <v>161</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C-C-0166</t>
        </is>
      </c>
      <c r="B6189" s="12" t="inlineStr">
        <is>
          <t>C</t>
        </is>
      </c>
      <c r="C6189" s="12" t="inlineStr">
        <is>
          <t>Grid interface</t>
        </is>
      </c>
      <c r="D6189" s="12" t="inlineStr">
        <is>
          <t>Motor 19 of 20: control / local station</t>
        </is>
      </c>
      <c r="E6189" s="12" t="inlineStr">
        <is>
          <t>MCC-C1</t>
        </is>
      </c>
      <c r="F6189" s="12" t="inlineStr">
        <is>
          <t>R1 MCC-C1</t>
        </is>
      </c>
      <c r="G6189" s="12" t="inlineStr"/>
      <c r="H6189" s="12" t="inlineStr">
        <is>
          <t>Water treatment building: rooftop HVAC, exhaust fans, vents</t>
        </is>
      </c>
      <c r="I6189" s="12" t="inlineStr">
        <is>
          <t>Control</t>
        </is>
      </c>
      <c r="J6189" s="12" t="inlineStr">
        <is>
          <t>Control cable 600 V Type TC-ER, Cu #14 AWG, PVC jacket</t>
        </is>
      </c>
      <c r="K6189" s="12" t="inlineStr">
        <is>
          <t>CT|7/C|14</t>
        </is>
      </c>
      <c r="L6189" s="12" t="inlineStr">
        <is>
          <t>7/C</t>
        </is>
      </c>
      <c r="M6189" s="12" t="inlineStr">
        <is>
          <t>14</t>
        </is>
      </c>
      <c r="N6189" s="12" t="n">
        <v>1</v>
      </c>
      <c r="O6189" s="12" t="n">
        <v>1</v>
      </c>
      <c r="P6189" s="12" t="n"/>
      <c r="Q6189" s="12" t="n"/>
      <c r="R6189" s="12" t="n"/>
      <c r="S6189" s="12" t="inlineStr">
        <is>
          <t>Duct bank</t>
        </is>
      </c>
      <c r="T6189" s="15" t="n">
        <v>1629</v>
      </c>
      <c r="U6189" s="15" t="n">
        <v>161</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C-C-0167</t>
        </is>
      </c>
      <c r="B6190" s="12" t="inlineStr">
        <is>
          <t>C</t>
        </is>
      </c>
      <c r="C6190" s="12" t="inlineStr">
        <is>
          <t>Grid interface</t>
        </is>
      </c>
      <c r="D6190" s="12" t="inlineStr">
        <is>
          <t>Motor 20 of 20: control / local station</t>
        </is>
      </c>
      <c r="E6190" s="12" t="inlineStr">
        <is>
          <t>MCC-C1</t>
        </is>
      </c>
      <c r="F6190" s="12" t="inlineStr">
        <is>
          <t>R1 MCC-C1</t>
        </is>
      </c>
      <c r="G6190" s="12" t="inlineStr"/>
      <c r="H6190" s="12" t="inlineStr">
        <is>
          <t>Water treatment building: rooftop HVAC, exhaust fans, vents</t>
        </is>
      </c>
      <c r="I6190" s="12" t="inlineStr">
        <is>
          <t>Control</t>
        </is>
      </c>
      <c r="J6190" s="12" t="inlineStr">
        <is>
          <t>Control cable 600 V Type TC-ER, Cu #14 AWG, PVC jacket</t>
        </is>
      </c>
      <c r="K6190" s="12" t="inlineStr">
        <is>
          <t>CT|7/C|14</t>
        </is>
      </c>
      <c r="L6190" s="12" t="inlineStr">
        <is>
          <t>7/C</t>
        </is>
      </c>
      <c r="M6190" s="12" t="inlineStr">
        <is>
          <t>14</t>
        </is>
      </c>
      <c r="N6190" s="12" t="n">
        <v>1</v>
      </c>
      <c r="O6190" s="12" t="n">
        <v>1</v>
      </c>
      <c r="P6190" s="12" t="n"/>
      <c r="Q6190" s="12" t="n"/>
      <c r="R6190" s="12" t="n"/>
      <c r="S6190" s="12" t="inlineStr">
        <is>
          <t>Duct bank</t>
        </is>
      </c>
      <c r="T6190" s="15" t="n">
        <v>1629</v>
      </c>
      <c r="U6190" s="15" t="n">
        <v>161</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C-I-0081</t>
        </is>
      </c>
      <c r="B6191" s="12" t="inlineStr">
        <is>
          <t>C</t>
        </is>
      </c>
      <c r="C6191" s="12" t="inlineStr">
        <is>
          <t>Grid interface</t>
        </is>
      </c>
      <c r="D6191" s="12" t="inlineStr">
        <is>
          <t>Analog instrument to JB JB-CO2 compression 3 -AI01: 20 x 1 pr (field cables)</t>
        </is>
      </c>
      <c r="E6191" s="12" t="inlineStr"/>
      <c r="F6191" s="12" t="inlineStr">
        <is>
          <t xml:space="preserve">CO2 compression 3 x ~19 MW + dehydration: rooftop HVAC, exhaust fans, </t>
        </is>
      </c>
      <c r="G6191" s="12" t="inlineStr">
        <is>
          <t>JB-CO2 compression 3 -AI01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PLTC|1 pr|16</t>
        </is>
      </c>
      <c r="L6191" s="12" t="inlineStr">
        <is>
          <t>1 pr</t>
        </is>
      </c>
      <c r="M6191" s="12" t="inlineStr">
        <is>
          <t>16</t>
        </is>
      </c>
      <c r="N6191" s="12" t="n">
        <v>20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C-I-0082</t>
        </is>
      </c>
      <c r="B6192" s="12" t="inlineStr">
        <is>
          <t>C</t>
        </is>
      </c>
      <c r="C6192" s="12" t="inlineStr">
        <is>
          <t>Grid interface</t>
        </is>
      </c>
      <c r="D6192" s="12" t="inlineStr">
        <is>
          <t>Home run JB-CO2 compression 3 -AI01 to the control / marshalling room</t>
        </is>
      </c>
      <c r="E6192" s="12" t="inlineStr">
        <is>
          <t>R1</t>
        </is>
      </c>
      <c r="F6192" s="12" t="inlineStr">
        <is>
          <t>R1: main electrical building (64 x 180 ft)</t>
        </is>
      </c>
      <c r="G6192" s="12" t="inlineStr">
        <is>
          <t>JB-CO2 compression 3 -AI01</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PLTC|24 pr|18</t>
        </is>
      </c>
      <c r="L6192" s="12" t="inlineStr">
        <is>
          <t>24 pr</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C-I-0083</t>
        </is>
      </c>
      <c r="B6193" s="12" t="inlineStr">
        <is>
          <t>C</t>
        </is>
      </c>
      <c r="C6193" s="12" t="inlineStr">
        <is>
          <t>Grid interface</t>
        </is>
      </c>
      <c r="D6193" s="12" t="inlineStr">
        <is>
          <t>Analog instrument to JB JB-CO2 compression 3 -AI02: 20 x 1 pr (field cables)</t>
        </is>
      </c>
      <c r="E6193" s="12" t="inlineStr"/>
      <c r="F6193" s="12" t="inlineStr">
        <is>
          <t xml:space="preserve">CO2 compression 3 x ~19 MW + dehydration: rooftop HVAC, exhaust fans, </t>
        </is>
      </c>
      <c r="G6193" s="12" t="inlineStr">
        <is>
          <t>JB-CO2 compression 3 -AI02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PLTC|1 pr|16</t>
        </is>
      </c>
      <c r="L6193" s="12" t="inlineStr">
        <is>
          <t>1 pr</t>
        </is>
      </c>
      <c r="M6193" s="12" t="inlineStr">
        <is>
          <t>16</t>
        </is>
      </c>
      <c r="N6193" s="12" t="n">
        <v>20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C-I-0084</t>
        </is>
      </c>
      <c r="B6194" s="12" t="inlineStr">
        <is>
          <t>C</t>
        </is>
      </c>
      <c r="C6194" s="12" t="inlineStr">
        <is>
          <t>Grid interface</t>
        </is>
      </c>
      <c r="D6194" s="12" t="inlineStr">
        <is>
          <t>Home run JB-CO2 compression 3 -AI02 to the control / marshalling room</t>
        </is>
      </c>
      <c r="E6194" s="12" t="inlineStr">
        <is>
          <t>R1</t>
        </is>
      </c>
      <c r="F6194" s="12" t="inlineStr">
        <is>
          <t>R1: main electrical building (64 x 180 ft)</t>
        </is>
      </c>
      <c r="G6194" s="12" t="inlineStr">
        <is>
          <t>JB-CO2 compression 3 -AI02</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PLTC|24 pr|18</t>
        </is>
      </c>
      <c r="L6194" s="12" t="inlineStr">
        <is>
          <t>24 pr</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C-I-0085</t>
        </is>
      </c>
      <c r="B6195" s="12" t="inlineStr">
        <is>
          <t>C</t>
        </is>
      </c>
      <c r="C6195" s="12" t="inlineStr">
        <is>
          <t>Grid interface</t>
        </is>
      </c>
      <c r="D6195" s="12" t="inlineStr">
        <is>
          <t>Analog instrument to JB JB-CO2 compression 3 -AI03: 20 x 1 pr (field cables)</t>
        </is>
      </c>
      <c r="E6195" s="12" t="inlineStr"/>
      <c r="F6195" s="12" t="inlineStr">
        <is>
          <t xml:space="preserve">CO2 compression 3 x ~19 MW + dehydration: rooftop HVAC, exhaust fans, </t>
        </is>
      </c>
      <c r="G6195" s="12" t="inlineStr">
        <is>
          <t>JB-CO2 compression 3 -AI03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PLTC|1 pr|16</t>
        </is>
      </c>
      <c r="L6195" s="12" t="inlineStr">
        <is>
          <t>1 pr</t>
        </is>
      </c>
      <c r="M6195" s="12" t="inlineStr">
        <is>
          <t>16</t>
        </is>
      </c>
      <c r="N6195" s="12" t="n">
        <v>20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C-I-0086</t>
        </is>
      </c>
      <c r="B6196" s="12" t="inlineStr">
        <is>
          <t>C</t>
        </is>
      </c>
      <c r="C6196" s="12" t="inlineStr">
        <is>
          <t>Grid interface</t>
        </is>
      </c>
      <c r="D6196" s="12" t="inlineStr">
        <is>
          <t>Home run JB-CO2 compression 3 -AI03 to the control / marshalling room</t>
        </is>
      </c>
      <c r="E6196" s="12" t="inlineStr">
        <is>
          <t>R1</t>
        </is>
      </c>
      <c r="F6196" s="12" t="inlineStr">
        <is>
          <t>R1: main electrical building (64 x 180 ft)</t>
        </is>
      </c>
      <c r="G6196" s="12" t="inlineStr">
        <is>
          <t>JB-CO2 compression 3 -AI03</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PLTC|24 pr|18</t>
        </is>
      </c>
      <c r="L6196" s="12" t="inlineStr">
        <is>
          <t>24 pr</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C-I-0087</t>
        </is>
      </c>
      <c r="B6197" s="12" t="inlineStr">
        <is>
          <t>C</t>
        </is>
      </c>
      <c r="C6197" s="12" t="inlineStr">
        <is>
          <t>Grid interface</t>
        </is>
      </c>
      <c r="D6197" s="12" t="inlineStr">
        <is>
          <t>Analog instrument to JB JB-CO2 compression 3 -AI04: 20 x 1 pr (field cables)</t>
        </is>
      </c>
      <c r="E6197" s="12" t="inlineStr"/>
      <c r="F6197" s="12" t="inlineStr">
        <is>
          <t xml:space="preserve">CO2 compression 3 x ~19 MW + dehydration: rooftop HVAC, exhaust fans, </t>
        </is>
      </c>
      <c r="G6197" s="12" t="inlineStr">
        <is>
          <t>JB-CO2 compression 3 -AI04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PLTC|1 pr|16</t>
        </is>
      </c>
      <c r="L6197" s="12" t="inlineStr">
        <is>
          <t>1 pr</t>
        </is>
      </c>
      <c r="M6197" s="12" t="inlineStr">
        <is>
          <t>16</t>
        </is>
      </c>
      <c r="N6197" s="12" t="n">
        <v>20</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C-I-0088</t>
        </is>
      </c>
      <c r="B6198" s="12" t="inlineStr">
        <is>
          <t>C</t>
        </is>
      </c>
      <c r="C6198" s="12" t="inlineStr">
        <is>
          <t>Grid interface</t>
        </is>
      </c>
      <c r="D6198" s="12" t="inlineStr">
        <is>
          <t>Home run JB-CO2 compression 3 -AI04 to the control / marshalling room</t>
        </is>
      </c>
      <c r="E6198" s="12" t="inlineStr">
        <is>
          <t>R1</t>
        </is>
      </c>
      <c r="F6198" s="12" t="inlineStr">
        <is>
          <t>R1: main electrical building (64 x 180 ft)</t>
        </is>
      </c>
      <c r="G6198" s="12" t="inlineStr">
        <is>
          <t>JB-CO2 compression 3 -AI04</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PLTC|24 pr|18</t>
        </is>
      </c>
      <c r="L6198" s="12" t="inlineStr">
        <is>
          <t>24 pr</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C-I-0089</t>
        </is>
      </c>
      <c r="B6199" s="12" t="inlineStr">
        <is>
          <t>C</t>
        </is>
      </c>
      <c r="C6199" s="12" t="inlineStr">
        <is>
          <t>Grid interface</t>
        </is>
      </c>
      <c r="D6199" s="12" t="inlineStr">
        <is>
          <t>Analog instrument to JB JB-CO2 compression 3 -AI05: 20 x 1 pr (field cables)</t>
        </is>
      </c>
      <c r="E6199" s="12" t="inlineStr"/>
      <c r="F6199" s="12" t="inlineStr">
        <is>
          <t xml:space="preserve">CO2 compression 3 x ~19 MW + dehydration: rooftop HVAC, exhaust fans, </t>
        </is>
      </c>
      <c r="G6199" s="12" t="inlineStr">
        <is>
          <t>JB-CO2 compression 3 -AI05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20</v>
      </c>
      <c r="O6199" s="12" t="n">
        <v>1</v>
      </c>
      <c r="P6199" s="12" t="n"/>
      <c r="Q6199" s="12" t="n"/>
      <c r="R6199" s="12" t="n"/>
      <c r="S6199" s="12" t="inlineStr">
        <is>
          <t>Tray / conduit</t>
        </is>
      </c>
      <c r="T6199" s="15" t="n">
        <v>161</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C-I-0090</t>
        </is>
      </c>
      <c r="B6200" s="12" t="inlineStr">
        <is>
          <t>C</t>
        </is>
      </c>
      <c r="C6200" s="12" t="inlineStr">
        <is>
          <t>Grid interface</t>
        </is>
      </c>
      <c r="D6200" s="12" t="inlineStr">
        <is>
          <t>Home run JB-CO2 compression 3 -AI05 to the control / marshalling room</t>
        </is>
      </c>
      <c r="E6200" s="12" t="inlineStr">
        <is>
          <t>R1</t>
        </is>
      </c>
      <c r="F6200" s="12" t="inlineStr">
        <is>
          <t>R1: main electrical building (64 x 180 ft)</t>
        </is>
      </c>
      <c r="G6200" s="12" t="inlineStr">
        <is>
          <t>JB-CO2 compression 3 -AI05</t>
        </is>
      </c>
      <c r="H6200" s="12" t="inlineStr">
        <is>
          <t xml:space="preserve">CO2 compression 3 x ~19 MW + dehydration: rooftop HVAC, exhaust fans, </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2186</v>
      </c>
      <c r="U6200" s="15" t="n">
        <v>268</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C-I-0091</t>
        </is>
      </c>
      <c r="B6201" s="12" t="inlineStr">
        <is>
          <t>C</t>
        </is>
      </c>
      <c r="C6201" s="12" t="inlineStr">
        <is>
          <t>Grid interface</t>
        </is>
      </c>
      <c r="D6201" s="12" t="inlineStr">
        <is>
          <t>Analog instrument to JB JB-CO2 compression 3 -AI06: 20 x 1 pr (field cables)</t>
        </is>
      </c>
      <c r="E6201" s="12" t="inlineStr"/>
      <c r="F6201" s="12" t="inlineStr">
        <is>
          <t xml:space="preserve">CO2 compression 3 x ~19 MW + dehydration: rooftop HVAC, exhaust fans, </t>
        </is>
      </c>
      <c r="G6201" s="12" t="inlineStr">
        <is>
          <t>JB-CO2 compression 3 -AI06</t>
        </is>
      </c>
      <c r="H6201" s="12" t="inlineStr">
        <is>
          <t xml:space="preserve">CO2 compression 3 x ~19 MW + dehydration: rooftop HVAC, exhaust fans, </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20</v>
      </c>
      <c r="O6201" s="12" t="n">
        <v>1</v>
      </c>
      <c r="P6201" s="12" t="n"/>
      <c r="Q6201" s="12" t="n"/>
      <c r="R6201" s="12" t="n"/>
      <c r="S6201" s="12" t="inlineStr">
        <is>
          <t>Tray / conduit</t>
        </is>
      </c>
      <c r="T6201" s="15" t="n">
        <v>161</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C-I-0092</t>
        </is>
      </c>
      <c r="B6202" s="12" t="inlineStr">
        <is>
          <t>C</t>
        </is>
      </c>
      <c r="C6202" s="12" t="inlineStr">
        <is>
          <t>Grid interface</t>
        </is>
      </c>
      <c r="D6202" s="12" t="inlineStr">
        <is>
          <t>Home run JB-CO2 compression 3 -AI06 to the control / marshalling room</t>
        </is>
      </c>
      <c r="E6202" s="12" t="inlineStr">
        <is>
          <t>R1</t>
        </is>
      </c>
      <c r="F6202" s="12" t="inlineStr">
        <is>
          <t>R1: main electrical building (64 x 180 ft)</t>
        </is>
      </c>
      <c r="G6202" s="12" t="inlineStr">
        <is>
          <t>JB-CO2 compression 3 -AI06</t>
        </is>
      </c>
      <c r="H6202" s="12" t="inlineStr">
        <is>
          <t xml:space="preserve">CO2 compression 3 x ~19 MW + dehydration: rooftop HVAC, exhaust fans, </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2186</v>
      </c>
      <c r="U6202" s="15" t="n">
        <v>268</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C-I-0093</t>
        </is>
      </c>
      <c r="B6203" s="12" t="inlineStr">
        <is>
          <t>C</t>
        </is>
      </c>
      <c r="C6203" s="12" t="inlineStr">
        <is>
          <t>Grid interface</t>
        </is>
      </c>
      <c r="D6203" s="12" t="inlineStr">
        <is>
          <t>Analog instrument to JB JB-CO2 compression 3 -AI07: 20 x 1 pr (field cables)</t>
        </is>
      </c>
      <c r="E6203" s="12" t="inlineStr"/>
      <c r="F6203" s="12" t="inlineStr">
        <is>
          <t xml:space="preserve">CO2 compression 3 x ~19 MW + dehydration: rooftop HVAC, exhaust fans, </t>
        </is>
      </c>
      <c r="G6203" s="12" t="inlineStr">
        <is>
          <t>JB-CO2 compression 3 -AI07</t>
        </is>
      </c>
      <c r="H6203" s="12" t="inlineStr">
        <is>
          <t xml:space="preserve">CO2 compression 3 x ~19 MW + dehydration: rooftop HVAC, exhaust fans, </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161</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C-I-0094</t>
        </is>
      </c>
      <c r="B6204" s="12" t="inlineStr">
        <is>
          <t>C</t>
        </is>
      </c>
      <c r="C6204" s="12" t="inlineStr">
        <is>
          <t>Grid interface</t>
        </is>
      </c>
      <c r="D6204" s="12" t="inlineStr">
        <is>
          <t>Home run JB-CO2 compression 3 -AI07 to the control / marshalling room</t>
        </is>
      </c>
      <c r="E6204" s="12" t="inlineStr">
        <is>
          <t>R1</t>
        </is>
      </c>
      <c r="F6204" s="12" t="inlineStr">
        <is>
          <t>R1: main electrical building (64 x 180 ft)</t>
        </is>
      </c>
      <c r="G6204" s="12" t="inlineStr">
        <is>
          <t>JB-CO2 compression 3 -AI07</t>
        </is>
      </c>
      <c r="H6204" s="12" t="inlineStr">
        <is>
          <t xml:space="preserve">CO2 compression 3 x ~19 MW + dehydration: rooftop HVAC, exhaust fans, </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Tray</t>
        </is>
      </c>
      <c r="T6204" s="15" t="n">
        <v>2186</v>
      </c>
      <c r="U6204" s="15" t="n">
        <v>268</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C-I-0095</t>
        </is>
      </c>
      <c r="B6205" s="12" t="inlineStr">
        <is>
          <t>C</t>
        </is>
      </c>
      <c r="C6205" s="12" t="inlineStr">
        <is>
          <t>Grid interface</t>
        </is>
      </c>
      <c r="D6205" s="12" t="inlineStr">
        <is>
          <t>Analog instrument to JB JB-CO2 compression 3 -AI08: 10 x 1 pr (field cables)</t>
        </is>
      </c>
      <c r="E6205" s="12" t="inlineStr"/>
      <c r="F6205" s="12" t="inlineStr">
        <is>
          <t xml:space="preserve">CO2 compression 3 x ~19 MW + dehydration: rooftop HVAC, exhaust fans, </t>
        </is>
      </c>
      <c r="G6205" s="12" t="inlineStr">
        <is>
          <t>JB-CO2 compression 3 -AI08</t>
        </is>
      </c>
      <c r="H6205" s="12" t="inlineStr">
        <is>
          <t xml:space="preserve">CO2 compression 3 x ~19 MW + dehydration: rooftop HVAC, exhaust fans, </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10</v>
      </c>
      <c r="O6205" s="12" t="n">
        <v>1</v>
      </c>
      <c r="P6205" s="12" t="n"/>
      <c r="Q6205" s="12" t="n"/>
      <c r="R6205" s="12" t="n"/>
      <c r="S6205" s="12" t="inlineStr">
        <is>
          <t>Tray / conduit</t>
        </is>
      </c>
      <c r="T6205" s="15" t="n">
        <v>161</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C-I-0096</t>
        </is>
      </c>
      <c r="B6206" s="12" t="inlineStr">
        <is>
          <t>C</t>
        </is>
      </c>
      <c r="C6206" s="12" t="inlineStr">
        <is>
          <t>Grid interface</t>
        </is>
      </c>
      <c r="D6206" s="12" t="inlineStr">
        <is>
          <t>Home run JB-CO2 compression 3 -AI08 to the control / marshalling room</t>
        </is>
      </c>
      <c r="E6206" s="12" t="inlineStr">
        <is>
          <t>R1</t>
        </is>
      </c>
      <c r="F6206" s="12" t="inlineStr">
        <is>
          <t>R1: main electrical building (64 x 180 ft)</t>
        </is>
      </c>
      <c r="G6206" s="12" t="inlineStr">
        <is>
          <t>JB-CO2 compression 3 -AI08</t>
        </is>
      </c>
      <c r="H6206" s="12" t="inlineStr">
        <is>
          <t xml:space="preserve">CO2 compression 3 x ~19 MW + dehydration: rooftop HVAC, exhaust fans, </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Tray</t>
        </is>
      </c>
      <c r="T6206" s="15" t="n">
        <v>2186</v>
      </c>
      <c r="U6206" s="15" t="n">
        <v>268</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C-I-0097</t>
        </is>
      </c>
      <c r="B6207" s="12" t="inlineStr">
        <is>
          <t>C</t>
        </is>
      </c>
      <c r="C6207" s="12" t="inlineStr">
        <is>
          <t>Grid interface</t>
        </is>
      </c>
      <c r="D6207" s="12" t="inlineStr">
        <is>
          <t>Discrete device to JB JB-CO2 compression 3 -DI01: 20 x 1 pr (field cables)</t>
        </is>
      </c>
      <c r="E6207" s="12" t="inlineStr"/>
      <c r="F6207" s="12" t="inlineStr">
        <is>
          <t xml:space="preserve">CO2 compression 3 x ~19 MW + dehydration: rooftop HVAC, exhaust fans, </t>
        </is>
      </c>
      <c r="G6207" s="12" t="inlineStr">
        <is>
          <t>JB-CO2 compression 3 -DI01</t>
        </is>
      </c>
      <c r="H6207" s="12" t="inlineStr">
        <is>
          <t xml:space="preserve">CO2 compression 3 x ~19 MW + dehydration: rooftop HVAC, exhaust fans, </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20</v>
      </c>
      <c r="O6207" s="12" t="n">
        <v>1</v>
      </c>
      <c r="P6207" s="12" t="n"/>
      <c r="Q6207" s="12" t="n"/>
      <c r="R6207" s="12" t="n"/>
      <c r="S6207" s="12" t="inlineStr">
        <is>
          <t>Tray / conduit</t>
        </is>
      </c>
      <c r="T6207" s="15" t="n">
        <v>161</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C-I-0098</t>
        </is>
      </c>
      <c r="B6208" s="12" t="inlineStr">
        <is>
          <t>C</t>
        </is>
      </c>
      <c r="C6208" s="12" t="inlineStr">
        <is>
          <t>Grid interface</t>
        </is>
      </c>
      <c r="D6208" s="12" t="inlineStr">
        <is>
          <t>Home run JB-CO2 compression 3 -DI01 to the control / marshalling room</t>
        </is>
      </c>
      <c r="E6208" s="12" t="inlineStr">
        <is>
          <t>R1</t>
        </is>
      </c>
      <c r="F6208" s="12" t="inlineStr">
        <is>
          <t>R1: main electrical building (64 x 180 ft)</t>
        </is>
      </c>
      <c r="G6208" s="12" t="inlineStr">
        <is>
          <t>JB-CO2 compression 3 -DI01</t>
        </is>
      </c>
      <c r="H6208" s="12" t="inlineStr">
        <is>
          <t xml:space="preserve">CO2 compression 3 x ~19 MW + dehydration: rooftop HVAC, exhaust fans, </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Tray</t>
        </is>
      </c>
      <c r="T6208" s="15" t="n">
        <v>2186</v>
      </c>
      <c r="U6208" s="15" t="n">
        <v>268</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C-I-0099</t>
        </is>
      </c>
      <c r="B6209" s="12" t="inlineStr">
        <is>
          <t>C</t>
        </is>
      </c>
      <c r="C6209" s="12" t="inlineStr">
        <is>
          <t>Grid interface</t>
        </is>
      </c>
      <c r="D6209" s="12" t="inlineStr">
        <is>
          <t>Discrete device to JB JB-CO2 compression 3 -DI02: 20 x 1 pr (field cables)</t>
        </is>
      </c>
      <c r="E6209" s="12" t="inlineStr"/>
      <c r="F6209" s="12" t="inlineStr">
        <is>
          <t xml:space="preserve">CO2 compression 3 x ~19 MW + dehydration: rooftop HVAC, exhaust fans, </t>
        </is>
      </c>
      <c r="G6209" s="12" t="inlineStr">
        <is>
          <t>JB-CO2 compression 3 -DI02</t>
        </is>
      </c>
      <c r="H6209" s="12" t="inlineStr">
        <is>
          <t xml:space="preserve">CO2 compression 3 x ~19 MW + dehydration: rooftop HVAC, exhaust fans, </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161</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C-I-0100</t>
        </is>
      </c>
      <c r="B6210" s="12" t="inlineStr">
        <is>
          <t>C</t>
        </is>
      </c>
      <c r="C6210" s="12" t="inlineStr">
        <is>
          <t>Grid interface</t>
        </is>
      </c>
      <c r="D6210" s="12" t="inlineStr">
        <is>
          <t>Home run JB-CO2 compression 3 -DI02 to the control / marshalling room</t>
        </is>
      </c>
      <c r="E6210" s="12" t="inlineStr">
        <is>
          <t>R1</t>
        </is>
      </c>
      <c r="F6210" s="12" t="inlineStr">
        <is>
          <t>R1: main electrical building (64 x 180 ft)</t>
        </is>
      </c>
      <c r="G6210" s="12" t="inlineStr">
        <is>
          <t>JB-CO2 compression 3 -DI02</t>
        </is>
      </c>
      <c r="H6210" s="12" t="inlineStr">
        <is>
          <t xml:space="preserve">CO2 compression 3 x ~19 MW + dehydration: rooftop HVAC, exhaust fans, </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Tray</t>
        </is>
      </c>
      <c r="T6210" s="15" t="n">
        <v>2186</v>
      </c>
      <c r="U6210" s="15" t="n">
        <v>268</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C-I-0101</t>
        </is>
      </c>
      <c r="B6211" s="12" t="inlineStr">
        <is>
          <t>C</t>
        </is>
      </c>
      <c r="C6211" s="12" t="inlineStr">
        <is>
          <t>Grid interface</t>
        </is>
      </c>
      <c r="D6211" s="12" t="inlineStr">
        <is>
          <t>Discrete device to JB JB-CO2 compression 3 -DI03: 20 x 1 pr (field cables)</t>
        </is>
      </c>
      <c r="E6211" s="12" t="inlineStr"/>
      <c r="F6211" s="12" t="inlineStr">
        <is>
          <t xml:space="preserve">CO2 compression 3 x ~19 MW + dehydration: rooftop HVAC, exhaust fans, </t>
        </is>
      </c>
      <c r="G6211" s="12" t="inlineStr">
        <is>
          <t>JB-CO2 compression 3 -DI03</t>
        </is>
      </c>
      <c r="H6211" s="12" t="inlineStr">
        <is>
          <t xml:space="preserve">CO2 compression 3 x ~19 MW + dehydration: rooftop HVAC, exhaust fans, </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161</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C-I-0102</t>
        </is>
      </c>
      <c r="B6212" s="12" t="inlineStr">
        <is>
          <t>C</t>
        </is>
      </c>
      <c r="C6212" s="12" t="inlineStr">
        <is>
          <t>Grid interface</t>
        </is>
      </c>
      <c r="D6212" s="12" t="inlineStr">
        <is>
          <t>Home run JB-CO2 compression 3 -DI03 to the control / marshalling room</t>
        </is>
      </c>
      <c r="E6212" s="12" t="inlineStr">
        <is>
          <t>R1</t>
        </is>
      </c>
      <c r="F6212" s="12" t="inlineStr">
        <is>
          <t>R1: main electrical building (64 x 180 ft)</t>
        </is>
      </c>
      <c r="G6212" s="12" t="inlineStr">
        <is>
          <t>JB-CO2 compression 3 -DI03</t>
        </is>
      </c>
      <c r="H6212" s="12" t="inlineStr">
        <is>
          <t xml:space="preserve">CO2 compression 3 x ~19 MW + dehydration: rooftop HVAC, exhaust fans, </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Tray</t>
        </is>
      </c>
      <c r="T6212" s="15" t="n">
        <v>2186</v>
      </c>
      <c r="U6212" s="15" t="n">
        <v>268</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C-I-0103</t>
        </is>
      </c>
      <c r="B6213" s="12" t="inlineStr">
        <is>
          <t>C</t>
        </is>
      </c>
      <c r="C6213" s="12" t="inlineStr">
        <is>
          <t>Grid interface</t>
        </is>
      </c>
      <c r="D6213" s="12" t="inlineStr">
        <is>
          <t>Discrete device to JB JB-CO2 compression 3 -DI04: 20 x 1 pr (field cables)</t>
        </is>
      </c>
      <c r="E6213" s="12" t="inlineStr"/>
      <c r="F6213" s="12" t="inlineStr">
        <is>
          <t xml:space="preserve">CO2 compression 3 x ~19 MW + dehydration: rooftop HVAC, exhaust fans, </t>
        </is>
      </c>
      <c r="G6213" s="12" t="inlineStr">
        <is>
          <t>JB-CO2 compression 3 -DI04</t>
        </is>
      </c>
      <c r="H6213" s="12" t="inlineStr">
        <is>
          <t xml:space="preserve">CO2 compression 3 x ~19 MW + dehydration: rooftop HVAC, exhaust fans, </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161</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C-I-0104</t>
        </is>
      </c>
      <c r="B6214" s="12" t="inlineStr">
        <is>
          <t>C</t>
        </is>
      </c>
      <c r="C6214" s="12" t="inlineStr">
        <is>
          <t>Grid interface</t>
        </is>
      </c>
      <c r="D6214" s="12" t="inlineStr">
        <is>
          <t>Home run JB-CO2 compression 3 -DI04 to the control / marshalling room</t>
        </is>
      </c>
      <c r="E6214" s="12" t="inlineStr">
        <is>
          <t>R1</t>
        </is>
      </c>
      <c r="F6214" s="12" t="inlineStr">
        <is>
          <t>R1: main electrical building (64 x 180 ft)</t>
        </is>
      </c>
      <c r="G6214" s="12" t="inlineStr">
        <is>
          <t>JB-CO2 compression 3 -DI04</t>
        </is>
      </c>
      <c r="H6214" s="12" t="inlineStr">
        <is>
          <t xml:space="preserve">CO2 compression 3 x ~19 MW + dehydration: rooftop HVAC, exhaust fans, </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Tray</t>
        </is>
      </c>
      <c r="T6214" s="15" t="n">
        <v>2186</v>
      </c>
      <c r="U6214" s="15" t="n">
        <v>268</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C-I-0105</t>
        </is>
      </c>
      <c r="B6215" s="12" t="inlineStr">
        <is>
          <t>C</t>
        </is>
      </c>
      <c r="C6215" s="12" t="inlineStr">
        <is>
          <t>Grid interface</t>
        </is>
      </c>
      <c r="D6215" s="12" t="inlineStr">
        <is>
          <t>Discrete device to JB JB-CO2 compression 3 -DI05: 20 x 1 pr (field cables)</t>
        </is>
      </c>
      <c r="E6215" s="12" t="inlineStr"/>
      <c r="F6215" s="12" t="inlineStr">
        <is>
          <t xml:space="preserve">CO2 compression 3 x ~19 MW + dehydration: rooftop HVAC, exhaust fans, </t>
        </is>
      </c>
      <c r="G6215" s="12" t="inlineStr">
        <is>
          <t>JB-CO2 compression 3 -DI05</t>
        </is>
      </c>
      <c r="H6215" s="12" t="inlineStr">
        <is>
          <t xml:space="preserve">CO2 compression 3 x ~19 MW + dehydration: rooftop HVAC, exhaust fans, </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161</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C-I-0106</t>
        </is>
      </c>
      <c r="B6216" s="12" t="inlineStr">
        <is>
          <t>C</t>
        </is>
      </c>
      <c r="C6216" s="12" t="inlineStr">
        <is>
          <t>Grid interface</t>
        </is>
      </c>
      <c r="D6216" s="12" t="inlineStr">
        <is>
          <t>Home run JB-CO2 compression 3 -DI05 to the control / marshalling room</t>
        </is>
      </c>
      <c r="E6216" s="12" t="inlineStr">
        <is>
          <t>R1</t>
        </is>
      </c>
      <c r="F6216" s="12" t="inlineStr">
        <is>
          <t>R1: main electrical building (64 x 180 ft)</t>
        </is>
      </c>
      <c r="G6216" s="12" t="inlineStr">
        <is>
          <t>JB-CO2 compression 3 -DI05</t>
        </is>
      </c>
      <c r="H6216" s="12" t="inlineStr">
        <is>
          <t xml:space="preserve">CO2 compression 3 x ~19 MW + dehydration: rooftop HVAC, exhaust fans, </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Tray</t>
        </is>
      </c>
      <c r="T6216" s="15" t="n">
        <v>2186</v>
      </c>
      <c r="U6216" s="15" t="n">
        <v>268</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C-I-0107</t>
        </is>
      </c>
      <c r="B6217" s="12" t="inlineStr">
        <is>
          <t>C</t>
        </is>
      </c>
      <c r="C6217" s="12" t="inlineStr">
        <is>
          <t>Grid interface</t>
        </is>
      </c>
      <c r="D6217" s="12" t="inlineStr">
        <is>
          <t>RTD to JB JB-CO2 compression 3 -RTD01: 10 x 1 tri (field cables)</t>
        </is>
      </c>
      <c r="E6217" s="12" t="inlineStr"/>
      <c r="F6217" s="12" t="inlineStr">
        <is>
          <t xml:space="preserve">CO2 compression 3 x ~19 MW + dehydration: rooftop HVAC, exhaust fans, </t>
        </is>
      </c>
      <c r="G6217" s="12" t="inlineStr">
        <is>
          <t>JB-CO2 compression 3 -RTD01</t>
        </is>
      </c>
      <c r="H6217" s="12" t="inlineStr">
        <is>
          <t xml:space="preserve">CO2 compression 3 x ~19 MW + dehydration: rooftop HVAC, exhaust fans, </t>
        </is>
      </c>
      <c r="I6217" s="12" t="inlineStr">
        <is>
          <t>Instrumentation</t>
        </is>
      </c>
      <c r="J6217" s="12" t="inlineStr">
        <is>
          <t>RTD cable, #18 shielded triads, PLTC</t>
        </is>
      </c>
      <c r="K6217" s="12" t="inlineStr">
        <is>
          <t>RTD|1 tri|18</t>
        </is>
      </c>
      <c r="L6217" s="12" t="inlineStr">
        <is>
          <t>1 tri</t>
        </is>
      </c>
      <c r="M6217" s="12" t="inlineStr">
        <is>
          <t>18</t>
        </is>
      </c>
      <c r="N6217" s="12" t="n">
        <v>10</v>
      </c>
      <c r="O6217" s="12" t="n">
        <v>1</v>
      </c>
      <c r="P6217" s="12" t="n"/>
      <c r="Q6217" s="12" t="n"/>
      <c r="R6217" s="12" t="n"/>
      <c r="S6217" s="12" t="inlineStr">
        <is>
          <t>Tray / conduit</t>
        </is>
      </c>
      <c r="T6217" s="15" t="n">
        <v>161</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C-I-0108</t>
        </is>
      </c>
      <c r="B6218" s="12" t="inlineStr">
        <is>
          <t>C</t>
        </is>
      </c>
      <c r="C6218" s="12" t="inlineStr">
        <is>
          <t>Grid interface</t>
        </is>
      </c>
      <c r="D6218" s="12" t="inlineStr">
        <is>
          <t>Home run JB-CO2 compression 3 -RTD01 to the control / marshalling room</t>
        </is>
      </c>
      <c r="E6218" s="12" t="inlineStr">
        <is>
          <t>R1</t>
        </is>
      </c>
      <c r="F6218" s="12" t="inlineStr">
        <is>
          <t>R1: main electrical building (64 x 180 ft)</t>
        </is>
      </c>
      <c r="G6218" s="12" t="inlineStr">
        <is>
          <t>JB-CO2 compression 3 -RTD01</t>
        </is>
      </c>
      <c r="H6218" s="12" t="inlineStr">
        <is>
          <t xml:space="preserve">CO2 compression 3 x ~19 MW + dehydration: rooftop HVAC, exhaust fans, </t>
        </is>
      </c>
      <c r="I6218" s="12" t="inlineStr">
        <is>
          <t>Instrumentation</t>
        </is>
      </c>
      <c r="J6218" s="12" t="inlineStr">
        <is>
          <t>RTD cable, #18 shielded triads, PLTC</t>
        </is>
      </c>
      <c r="K6218" s="12" t="inlineStr">
        <is>
          <t>RTD|12 tri|18</t>
        </is>
      </c>
      <c r="L6218" s="12" t="inlineStr">
        <is>
          <t>12 tri</t>
        </is>
      </c>
      <c r="M6218" s="12" t="inlineStr">
        <is>
          <t>18</t>
        </is>
      </c>
      <c r="N6218" s="12" t="n">
        <v>1</v>
      </c>
      <c r="O6218" s="12" t="n">
        <v>1</v>
      </c>
      <c r="P6218" s="12" t="n"/>
      <c r="Q6218" s="12" t="n"/>
      <c r="R6218" s="12" t="n"/>
      <c r="S6218" s="12" t="inlineStr">
        <is>
          <t>Tray</t>
        </is>
      </c>
      <c r="T6218" s="15" t="n">
        <v>2186</v>
      </c>
      <c r="U6218" s="15" t="n">
        <v>268</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C-I-0109</t>
        </is>
      </c>
      <c r="B6219" s="12" t="inlineStr">
        <is>
          <t>C</t>
        </is>
      </c>
      <c r="C6219" s="12" t="inlineStr">
        <is>
          <t>Grid interface</t>
        </is>
      </c>
      <c r="D6219" s="12" t="inlineStr">
        <is>
          <t>RTD to JB JB-CO2 compression 3 -RTD02: 10 x 1 tri (field cables)</t>
        </is>
      </c>
      <c r="E6219" s="12" t="inlineStr"/>
      <c r="F6219" s="12" t="inlineStr">
        <is>
          <t xml:space="preserve">CO2 compression 3 x ~19 MW + dehydration: rooftop HVAC, exhaust fans, </t>
        </is>
      </c>
      <c r="G6219" s="12" t="inlineStr">
        <is>
          <t>JB-CO2 compression 3 -RTD02</t>
        </is>
      </c>
      <c r="H6219" s="12" t="inlineStr">
        <is>
          <t xml:space="preserve">CO2 compression 3 x ~19 MW + dehydration: rooftop HVAC, exhaust fans, </t>
        </is>
      </c>
      <c r="I6219" s="12" t="inlineStr">
        <is>
          <t>Instrumentation</t>
        </is>
      </c>
      <c r="J6219" s="12" t="inlineStr">
        <is>
          <t>RTD cable, #18 shielded triads, PLTC</t>
        </is>
      </c>
      <c r="K6219" s="12" t="inlineStr">
        <is>
          <t>RTD|1 tri|18</t>
        </is>
      </c>
      <c r="L6219" s="12" t="inlineStr">
        <is>
          <t>1 tri</t>
        </is>
      </c>
      <c r="M6219" s="12" t="inlineStr">
        <is>
          <t>18</t>
        </is>
      </c>
      <c r="N6219" s="12" t="n">
        <v>10</v>
      </c>
      <c r="O6219" s="12" t="n">
        <v>1</v>
      </c>
      <c r="P6219" s="12" t="n"/>
      <c r="Q6219" s="12" t="n"/>
      <c r="R6219" s="12" t="n"/>
      <c r="S6219" s="12" t="inlineStr">
        <is>
          <t>Tray / conduit</t>
        </is>
      </c>
      <c r="T6219" s="15" t="n">
        <v>161</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C-I-0110</t>
        </is>
      </c>
      <c r="B6220" s="12" t="inlineStr">
        <is>
          <t>C</t>
        </is>
      </c>
      <c r="C6220" s="12" t="inlineStr">
        <is>
          <t>Grid interface</t>
        </is>
      </c>
      <c r="D6220" s="12" t="inlineStr">
        <is>
          <t>Home run JB-CO2 compression 3 -RTD02 to the control / marshalling room</t>
        </is>
      </c>
      <c r="E6220" s="12" t="inlineStr">
        <is>
          <t>R1</t>
        </is>
      </c>
      <c r="F6220" s="12" t="inlineStr">
        <is>
          <t>R1: main electrical building (64 x 180 ft)</t>
        </is>
      </c>
      <c r="G6220" s="12" t="inlineStr">
        <is>
          <t>JB-CO2 compression 3 -RTD02</t>
        </is>
      </c>
      <c r="H6220" s="12" t="inlineStr">
        <is>
          <t xml:space="preserve">CO2 compression 3 x ~19 MW + dehydration: rooftop HVAC, exhaust fans, </t>
        </is>
      </c>
      <c r="I6220" s="12" t="inlineStr">
        <is>
          <t>Instrumentation</t>
        </is>
      </c>
      <c r="J6220" s="12" t="inlineStr">
        <is>
          <t>RTD cable, #18 shielded triads, PLTC</t>
        </is>
      </c>
      <c r="K6220" s="12" t="inlineStr">
        <is>
          <t>RTD|12 tri|18</t>
        </is>
      </c>
      <c r="L6220" s="12" t="inlineStr">
        <is>
          <t>12 tri</t>
        </is>
      </c>
      <c r="M6220" s="12" t="inlineStr">
        <is>
          <t>18</t>
        </is>
      </c>
      <c r="N6220" s="12" t="n">
        <v>1</v>
      </c>
      <c r="O6220" s="12" t="n">
        <v>1</v>
      </c>
      <c r="P6220" s="12" t="n"/>
      <c r="Q6220" s="12" t="n"/>
      <c r="R6220" s="12" t="n"/>
      <c r="S6220" s="12" t="inlineStr">
        <is>
          <t>Tray</t>
        </is>
      </c>
      <c r="T6220" s="15" t="n">
        <v>2186</v>
      </c>
      <c r="U6220" s="15" t="n">
        <v>268</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C-I-0111</t>
        </is>
      </c>
      <c r="B6221" s="12" t="inlineStr">
        <is>
          <t>C</t>
        </is>
      </c>
      <c r="C6221" s="12" t="inlineStr">
        <is>
          <t>Grid interface</t>
        </is>
      </c>
      <c r="D6221" s="12" t="inlineStr">
        <is>
          <t>RTD to JB JB-CO2 compression 3 -RTD03: 10 x 1 tri (field cables)</t>
        </is>
      </c>
      <c r="E6221" s="12" t="inlineStr"/>
      <c r="F6221" s="12" t="inlineStr">
        <is>
          <t xml:space="preserve">CO2 compression 3 x ~19 MW + dehydration: rooftop HVAC, exhaust fans, </t>
        </is>
      </c>
      <c r="G6221" s="12" t="inlineStr">
        <is>
          <t>JB-CO2 compression 3 -RTD03</t>
        </is>
      </c>
      <c r="H6221" s="12" t="inlineStr">
        <is>
          <t xml:space="preserve">CO2 compression 3 x ~19 MW + dehydration: rooftop HVAC, exhaust fans, </t>
        </is>
      </c>
      <c r="I6221" s="12" t="inlineStr">
        <is>
          <t>Instrumentation</t>
        </is>
      </c>
      <c r="J6221" s="12" t="inlineStr">
        <is>
          <t>RTD cable, #18 shielded triads, PLTC</t>
        </is>
      </c>
      <c r="K6221" s="12" t="inlineStr">
        <is>
          <t>RTD|1 tri|18</t>
        </is>
      </c>
      <c r="L6221" s="12" t="inlineStr">
        <is>
          <t>1 tri</t>
        </is>
      </c>
      <c r="M6221" s="12" t="inlineStr">
        <is>
          <t>18</t>
        </is>
      </c>
      <c r="N6221" s="12" t="n">
        <v>10</v>
      </c>
      <c r="O6221" s="12" t="n">
        <v>1</v>
      </c>
      <c r="P6221" s="12" t="n"/>
      <c r="Q6221" s="12" t="n"/>
      <c r="R6221" s="12" t="n"/>
      <c r="S6221" s="12" t="inlineStr">
        <is>
          <t>Tray / conduit</t>
        </is>
      </c>
      <c r="T6221" s="15" t="n">
        <v>161</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C-I-0112</t>
        </is>
      </c>
      <c r="B6222" s="12" t="inlineStr">
        <is>
          <t>C</t>
        </is>
      </c>
      <c r="C6222" s="12" t="inlineStr">
        <is>
          <t>Grid interface</t>
        </is>
      </c>
      <c r="D6222" s="12" t="inlineStr">
        <is>
          <t>Home run JB-CO2 compression 3 -RTD03 to the control / marshalling room</t>
        </is>
      </c>
      <c r="E6222" s="12" t="inlineStr">
        <is>
          <t>R1</t>
        </is>
      </c>
      <c r="F6222" s="12" t="inlineStr">
        <is>
          <t>R1: main electrical building (64 x 180 ft)</t>
        </is>
      </c>
      <c r="G6222" s="12" t="inlineStr">
        <is>
          <t>JB-CO2 compression 3 -RTD03</t>
        </is>
      </c>
      <c r="H6222" s="12" t="inlineStr">
        <is>
          <t xml:space="preserve">CO2 compression 3 x ~19 MW + dehydration: rooftop HVAC, exhaust fans, </t>
        </is>
      </c>
      <c r="I6222" s="12" t="inlineStr">
        <is>
          <t>Instrumentation</t>
        </is>
      </c>
      <c r="J6222" s="12" t="inlineStr">
        <is>
          <t>RTD cable, #18 shielded triads, PLTC</t>
        </is>
      </c>
      <c r="K6222" s="12" t="inlineStr">
        <is>
          <t>RTD|12 tri|18</t>
        </is>
      </c>
      <c r="L6222" s="12" t="inlineStr">
        <is>
          <t>12 tri</t>
        </is>
      </c>
      <c r="M6222" s="12" t="inlineStr">
        <is>
          <t>18</t>
        </is>
      </c>
      <c r="N6222" s="12" t="n">
        <v>1</v>
      </c>
      <c r="O6222" s="12" t="n">
        <v>1</v>
      </c>
      <c r="P6222" s="12" t="n"/>
      <c r="Q6222" s="12" t="n"/>
      <c r="R6222" s="12" t="n"/>
      <c r="S6222" s="12" t="inlineStr">
        <is>
          <t>Tray</t>
        </is>
      </c>
      <c r="T6222" s="15" t="n">
        <v>2186</v>
      </c>
      <c r="U6222" s="15" t="n">
        <v>268</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C-I-0113</t>
        </is>
      </c>
      <c r="B6223" s="12" t="inlineStr">
        <is>
          <t>C</t>
        </is>
      </c>
      <c r="C6223" s="12" t="inlineStr">
        <is>
          <t>Grid interface</t>
        </is>
      </c>
      <c r="D6223" s="12" t="inlineStr">
        <is>
          <t>RTD to JB JB-CO2 compression 3 -RTD04: 6 x 1 tri (field cables)</t>
        </is>
      </c>
      <c r="E6223" s="12" t="inlineStr"/>
      <c r="F6223" s="12" t="inlineStr">
        <is>
          <t xml:space="preserve">CO2 compression 3 x ~19 MW + dehydration: rooftop HVAC, exhaust fans, </t>
        </is>
      </c>
      <c r="G6223" s="12" t="inlineStr">
        <is>
          <t>JB-CO2 compression 3 -RTD04</t>
        </is>
      </c>
      <c r="H6223" s="12" t="inlineStr">
        <is>
          <t xml:space="preserve">CO2 compression 3 x ~19 MW + dehydration: rooftop HVAC, exhaust fans, </t>
        </is>
      </c>
      <c r="I6223" s="12" t="inlineStr">
        <is>
          <t>Instrumentation</t>
        </is>
      </c>
      <c r="J6223" s="12" t="inlineStr">
        <is>
          <t>RTD cable, #18 shielded triads, PLTC</t>
        </is>
      </c>
      <c r="K6223" s="12" t="inlineStr">
        <is>
          <t>RTD|1 tri|18</t>
        </is>
      </c>
      <c r="L6223" s="12" t="inlineStr">
        <is>
          <t>1 tri</t>
        </is>
      </c>
      <c r="M6223" s="12" t="inlineStr">
        <is>
          <t>18</t>
        </is>
      </c>
      <c r="N6223" s="12" t="n">
        <v>6</v>
      </c>
      <c r="O6223" s="12" t="n">
        <v>1</v>
      </c>
      <c r="P6223" s="12" t="n"/>
      <c r="Q6223" s="12" t="n"/>
      <c r="R6223" s="12" t="n"/>
      <c r="S6223" s="12" t="inlineStr">
        <is>
          <t>Tray / conduit</t>
        </is>
      </c>
      <c r="T6223" s="15" t="n">
        <v>161</v>
      </c>
      <c r="U6223" s="15" t="n">
        <v>10</v>
      </c>
      <c r="V6223" s="15">
        <f>ROUNDUP((T6223+U6223+2*'Read Me'!$B$13)*(1+'Read Me'!$B$12),-1)</f>
        <v/>
      </c>
      <c r="W6223" s="15">
        <f>V6223*N6223*O6223</f>
        <v/>
      </c>
      <c r="X6223" s="12">
        <f>IF(LEFT(I6223,2)="MV",2*N6223*IF(L6223="1/C",O6223,1),0)</f>
        <v/>
      </c>
      <c r="Y6223" s="12">
        <f>IF(OR(LEFT(K6223,4)="LVAX",LEFT(K6223,6)="MV15AX",LEFT(K6223,4)="CTAX",LEFT(K6223,2)="W|"),2*N6223*O6223,0)</f>
        <v/>
      </c>
      <c r="Z6223" s="12" t="inlineStr">
        <is>
          <t>device-to-JB field wiring, one cable per device</t>
        </is>
      </c>
      <c r="AA6223" s="12">
        <f>N6223*O6223</f>
        <v/>
      </c>
    </row>
    <row r="6224">
      <c r="A6224" s="12" t="inlineStr">
        <is>
          <t>C-I-0114</t>
        </is>
      </c>
      <c r="B6224" s="12" t="inlineStr">
        <is>
          <t>C</t>
        </is>
      </c>
      <c r="C6224" s="12" t="inlineStr">
        <is>
          <t>Grid interface</t>
        </is>
      </c>
      <c r="D6224" s="12" t="inlineStr">
        <is>
          <t>Home run JB-CO2 compression 3 -RTD04 to the control / marshalling room</t>
        </is>
      </c>
      <c r="E6224" s="12" t="inlineStr">
        <is>
          <t>R1</t>
        </is>
      </c>
      <c r="F6224" s="12" t="inlineStr">
        <is>
          <t>R1: main electrical building (64 x 180 ft)</t>
        </is>
      </c>
      <c r="G6224" s="12" t="inlineStr">
        <is>
          <t>JB-CO2 compression 3 -RTD04</t>
        </is>
      </c>
      <c r="H6224" s="12" t="inlineStr">
        <is>
          <t xml:space="preserve">CO2 compression 3 x ~19 MW + dehydration: rooftop HVAC, exhaust fans, </t>
        </is>
      </c>
      <c r="I6224" s="12" t="inlineStr">
        <is>
          <t>Instrumentation</t>
        </is>
      </c>
      <c r="J6224" s="12" t="inlineStr">
        <is>
          <t>RTD cable, #18 shielded triads, PLTC</t>
        </is>
      </c>
      <c r="K6224" s="12" t="inlineStr">
        <is>
          <t>RTD|12 tri|18</t>
        </is>
      </c>
      <c r="L6224" s="12" t="inlineStr">
        <is>
          <t>12 tri</t>
        </is>
      </c>
      <c r="M6224" s="12" t="inlineStr">
        <is>
          <t>18</t>
        </is>
      </c>
      <c r="N6224" s="12" t="n">
        <v>1</v>
      </c>
      <c r="O6224" s="12" t="n">
        <v>1</v>
      </c>
      <c r="P6224" s="12" t="n"/>
      <c r="Q6224" s="12" t="n"/>
      <c r="R6224" s="12" t="n"/>
      <c r="S6224" s="12" t="inlineStr">
        <is>
          <t>Tray</t>
        </is>
      </c>
      <c r="T6224" s="15" t="n">
        <v>2186</v>
      </c>
      <c r="U6224" s="15" t="n">
        <v>268</v>
      </c>
      <c r="V6224" s="15">
        <f>ROUNDUP((T6224+U6224+2*'Read Me'!$B$13)*(1+'Read Me'!$B$12),-1)</f>
        <v/>
      </c>
      <c r="W6224" s="15">
        <f>V6224*N6224*O6224</f>
        <v/>
      </c>
      <c r="X6224" s="12">
        <f>IF(LEFT(I6224,2)="MV",2*N6224*IF(L6224="1/C",O6224,1),0)</f>
        <v/>
      </c>
      <c r="Y6224" s="12">
        <f>IF(OR(LEFT(K6224,4)="LVAX",LEFT(K6224,6)="MV15AX",LEFT(K6224,4)="CTAX",LEFT(K6224,2)="W|"),2*N6224*O6224,0)</f>
        <v/>
      </c>
      <c r="Z6224" s="12" t="inlineStr"/>
      <c r="AA6224" s="12">
        <f>N6224*O6224</f>
        <v/>
      </c>
    </row>
    <row r="6225">
      <c r="A6225" s="12" t="inlineStr">
        <is>
          <t>C-I-0115</t>
        </is>
      </c>
      <c r="B6225" s="12" t="inlineStr">
        <is>
          <t>C</t>
        </is>
      </c>
      <c r="C6225" s="12" t="inlineStr">
        <is>
          <t>Grid interface</t>
        </is>
      </c>
      <c r="D6225" s="12" t="inlineStr">
        <is>
          <t>Analog instrument to JB JB-Small-bore piping:-AI01: 10 x 1 pr (field cables)</t>
        </is>
      </c>
      <c r="E6225" s="12" t="inlineStr"/>
      <c r="F6225" s="12" t="inlineStr">
        <is>
          <t>Small-bore piping: instrument air, service water, nitrogen, HRSG drain</t>
        </is>
      </c>
      <c r="G6225" s="12" t="inlineStr">
        <is>
          <t>JB-Small-bore piping:-AI01</t>
        </is>
      </c>
      <c r="H6225" s="12" t="inlineStr">
        <is>
          <t>Small-bore piping: instrument air, service water, nitrogen, HRSG drain</t>
        </is>
      </c>
      <c r="I6225" s="12" t="inlineStr">
        <is>
          <t>Instrumentation</t>
        </is>
      </c>
      <c r="J6225" s="12" t="inlineStr">
        <is>
          <t>Instrumentation PLTC / TC-ER 300 V, #18 twisted shielded pairs, overall shield</t>
        </is>
      </c>
      <c r="K6225" s="12" t="inlineStr">
        <is>
          <t>PLTC|1 pr|16</t>
        </is>
      </c>
      <c r="L6225" s="12" t="inlineStr">
        <is>
          <t>1 pr</t>
        </is>
      </c>
      <c r="M6225" s="12" t="inlineStr">
        <is>
          <t>16</t>
        </is>
      </c>
      <c r="N6225" s="12" t="n">
        <v>10</v>
      </c>
      <c r="O6225" s="12" t="n">
        <v>1</v>
      </c>
      <c r="P6225" s="12" t="n"/>
      <c r="Q6225" s="12" t="n"/>
      <c r="R6225" s="12" t="n"/>
      <c r="S6225" s="12" t="inlineStr">
        <is>
          <t>Tray / conduit</t>
        </is>
      </c>
      <c r="T6225" s="15" t="n">
        <v>250</v>
      </c>
      <c r="U6225" s="15" t="n">
        <v>10</v>
      </c>
      <c r="V6225" s="15">
        <f>ROUNDUP((T6225+U6225+2*'Read Me'!$B$13)*(1+'Read Me'!$B$12),-1)</f>
        <v/>
      </c>
      <c r="W6225" s="15">
        <f>V6225*N6225*O6225</f>
        <v/>
      </c>
      <c r="X6225" s="12">
        <f>IF(LEFT(I6225,2)="MV",2*N6225*IF(L6225="1/C",O6225,1),0)</f>
        <v/>
      </c>
      <c r="Y6225" s="12">
        <f>IF(OR(LEFT(K6225,4)="LVAX",LEFT(K6225,6)="MV15AX",LEFT(K6225,4)="CTAX",LEFT(K6225,2)="W|"),2*N6225*O6225,0)</f>
        <v/>
      </c>
      <c r="Z6225" s="12" t="inlineStr">
        <is>
          <t>device-to-JB field wiring, one cable per device</t>
        </is>
      </c>
      <c r="AA6225" s="12">
        <f>N6225*O6225</f>
        <v/>
      </c>
    </row>
    <row r="6226">
      <c r="A6226" s="12" t="inlineStr">
        <is>
          <t>C-I-0116</t>
        </is>
      </c>
      <c r="B6226" s="12" t="inlineStr">
        <is>
          <t>C</t>
        </is>
      </c>
      <c r="C6226" s="12" t="inlineStr">
        <is>
          <t>Grid interface</t>
        </is>
      </c>
      <c r="D6226" s="12" t="inlineStr">
        <is>
          <t>Home run JB-Small-bore piping:-AI01 to the control / marshalling room</t>
        </is>
      </c>
      <c r="E6226" s="12" t="inlineStr">
        <is>
          <t>R1</t>
        </is>
      </c>
      <c r="F6226" s="12" t="inlineStr">
        <is>
          <t>R1: main electrical building (64 x 180 ft)</t>
        </is>
      </c>
      <c r="G6226" s="12" t="inlineStr">
        <is>
          <t>JB-Small-bore piping:-AI01</t>
        </is>
      </c>
      <c r="H6226" s="12" t="inlineStr">
        <is>
          <t>Small-bore piping: instrument air, service water, nitrogen, HRSG drain</t>
        </is>
      </c>
      <c r="I6226" s="12" t="inlineStr">
        <is>
          <t>Instrumentation</t>
        </is>
      </c>
      <c r="J6226" s="12" t="inlineStr">
        <is>
          <t>Instrumentation PLTC / TC-ER 300 V, #18 twisted shielded pairs, overall shield</t>
        </is>
      </c>
      <c r="K6226" s="12" t="inlineStr">
        <is>
          <t>PLTC|24 pr|18</t>
        </is>
      </c>
      <c r="L6226" s="12" t="inlineStr">
        <is>
          <t>24 pr</t>
        </is>
      </c>
      <c r="M6226" s="12" t="inlineStr">
        <is>
          <t>18</t>
        </is>
      </c>
      <c r="N6226" s="12" t="n">
        <v>1</v>
      </c>
      <c r="O6226" s="12" t="n">
        <v>1</v>
      </c>
      <c r="P6226" s="12" t="n"/>
      <c r="Q6226" s="12" t="n"/>
      <c r="R6226" s="12" t="n"/>
      <c r="S6226" s="12" t="inlineStr">
        <is>
          <t>Tray</t>
        </is>
      </c>
      <c r="T6226" s="15" t="n">
        <v>1218</v>
      </c>
      <c r="U6226" s="15" t="n">
        <v>200</v>
      </c>
      <c r="V6226" s="15">
        <f>ROUNDUP((T6226+U6226+2*'Read Me'!$B$13)*(1+'Read Me'!$B$12),-1)</f>
        <v/>
      </c>
      <c r="W6226" s="15">
        <f>V6226*N6226*O6226</f>
        <v/>
      </c>
      <c r="X6226" s="12">
        <f>IF(LEFT(I6226,2)="MV",2*N6226*IF(L6226="1/C",O6226,1),0)</f>
        <v/>
      </c>
      <c r="Y6226" s="12">
        <f>IF(OR(LEFT(K6226,4)="LVAX",LEFT(K6226,6)="MV15AX",LEFT(K6226,4)="CTAX",LEFT(K6226,2)="W|"),2*N6226*O6226,0)</f>
        <v/>
      </c>
      <c r="Z6226" s="12" t="inlineStr"/>
      <c r="AA6226" s="12">
        <f>N6226*O6226</f>
        <v/>
      </c>
    </row>
    <row r="6227">
      <c r="A6227" s="12" t="inlineStr">
        <is>
          <t>C-I-0117</t>
        </is>
      </c>
      <c r="B6227" s="12" t="inlineStr">
        <is>
          <t>C</t>
        </is>
      </c>
      <c r="C6227" s="12" t="inlineStr">
        <is>
          <t>Grid interface</t>
        </is>
      </c>
      <c r="D6227" s="12" t="inlineStr">
        <is>
          <t>Discrete device to JB JB-Small-bore piping:-DI01: 10 x 1 pr (field cables)</t>
        </is>
      </c>
      <c r="E6227" s="12" t="inlineStr"/>
      <c r="F6227" s="12" t="inlineStr">
        <is>
          <t>Small-bore piping: instrument air, service water, nitrogen, HRSG drain</t>
        </is>
      </c>
      <c r="G6227" s="12" t="inlineStr">
        <is>
          <t>JB-Small-bore piping:-DI01</t>
        </is>
      </c>
      <c r="H6227" s="12" t="inlineStr">
        <is>
          <t>Small-bore piping: instrument air, service water, nitrogen, HRSG drain</t>
        </is>
      </c>
      <c r="I6227" s="12" t="inlineStr">
        <is>
          <t>Instrumentation</t>
        </is>
      </c>
      <c r="J6227" s="12" t="inlineStr">
        <is>
          <t>Instrumentation PLTC / TC-ER 300 V, #18 twisted shielded pairs, overall shield</t>
        </is>
      </c>
      <c r="K6227" s="12" t="inlineStr">
        <is>
          <t>PLTC|1 pr|16</t>
        </is>
      </c>
      <c r="L6227" s="12" t="inlineStr">
        <is>
          <t>1 pr</t>
        </is>
      </c>
      <c r="M6227" s="12" t="inlineStr">
        <is>
          <t>16</t>
        </is>
      </c>
      <c r="N6227" s="12" t="n">
        <v>10</v>
      </c>
      <c r="O6227" s="12" t="n">
        <v>1</v>
      </c>
      <c r="P6227" s="12" t="n"/>
      <c r="Q6227" s="12" t="n"/>
      <c r="R6227" s="12" t="n"/>
      <c r="S6227" s="12" t="inlineStr">
        <is>
          <t>Tray / conduit</t>
        </is>
      </c>
      <c r="T6227" s="15" t="n">
        <v>250</v>
      </c>
      <c r="U6227" s="15" t="n">
        <v>10</v>
      </c>
      <c r="V6227" s="15">
        <f>ROUNDUP((T6227+U6227+2*'Read Me'!$B$13)*(1+'Read Me'!$B$12),-1)</f>
        <v/>
      </c>
      <c r="W6227" s="15">
        <f>V6227*N6227*O6227</f>
        <v/>
      </c>
      <c r="X6227" s="12">
        <f>IF(LEFT(I6227,2)="MV",2*N6227*IF(L6227="1/C",O6227,1),0)</f>
        <v/>
      </c>
      <c r="Y6227" s="12">
        <f>IF(OR(LEFT(K6227,4)="LVAX",LEFT(K6227,6)="MV15AX",LEFT(K6227,4)="CTAX",LEFT(K6227,2)="W|"),2*N6227*O6227,0)</f>
        <v/>
      </c>
      <c r="Z6227" s="12" t="inlineStr">
        <is>
          <t>device-to-JB field wiring, one cable per device</t>
        </is>
      </c>
      <c r="AA6227" s="12">
        <f>N6227*O6227</f>
        <v/>
      </c>
    </row>
    <row r="6228">
      <c r="A6228" s="12" t="inlineStr">
        <is>
          <t>C-I-0118</t>
        </is>
      </c>
      <c r="B6228" s="12" t="inlineStr">
        <is>
          <t>C</t>
        </is>
      </c>
      <c r="C6228" s="12" t="inlineStr">
        <is>
          <t>Grid interface</t>
        </is>
      </c>
      <c r="D6228" s="12" t="inlineStr">
        <is>
          <t>Home run JB-Small-bore piping:-DI01 to the control / marshalling room</t>
        </is>
      </c>
      <c r="E6228" s="12" t="inlineStr">
        <is>
          <t>R1</t>
        </is>
      </c>
      <c r="F6228" s="12" t="inlineStr">
        <is>
          <t>R1: main electrical building (64 x 180 ft)</t>
        </is>
      </c>
      <c r="G6228" s="12" t="inlineStr">
        <is>
          <t>JB-Small-bore piping:-DI01</t>
        </is>
      </c>
      <c r="H6228" s="12" t="inlineStr">
        <is>
          <t>Small-bore piping: instrument air, service water, nitrogen, HRSG drain</t>
        </is>
      </c>
      <c r="I6228" s="12" t="inlineStr">
        <is>
          <t>Instrumentation</t>
        </is>
      </c>
      <c r="J6228" s="12" t="inlineStr">
        <is>
          <t>Instrumentation PLTC / TC-ER 300 V, #18 twisted shielded pairs, overall shield</t>
        </is>
      </c>
      <c r="K6228" s="12" t="inlineStr">
        <is>
          <t>PLTC|24 pr|18</t>
        </is>
      </c>
      <c r="L6228" s="12" t="inlineStr">
        <is>
          <t>24 pr</t>
        </is>
      </c>
      <c r="M6228" s="12" t="inlineStr">
        <is>
          <t>18</t>
        </is>
      </c>
      <c r="N6228" s="12" t="n">
        <v>1</v>
      </c>
      <c r="O6228" s="12" t="n">
        <v>1</v>
      </c>
      <c r="P6228" s="12" t="n"/>
      <c r="Q6228" s="12" t="n"/>
      <c r="R6228" s="12" t="n"/>
      <c r="S6228" s="12" t="inlineStr">
        <is>
          <t>Tray</t>
        </is>
      </c>
      <c r="T6228" s="15" t="n">
        <v>1218</v>
      </c>
      <c r="U6228" s="15" t="n">
        <v>200</v>
      </c>
      <c r="V6228" s="15">
        <f>ROUNDUP((T6228+U6228+2*'Read Me'!$B$13)*(1+'Read Me'!$B$12),-1)</f>
        <v/>
      </c>
      <c r="W6228" s="15">
        <f>V6228*N6228*O6228</f>
        <v/>
      </c>
      <c r="X6228" s="12">
        <f>IF(LEFT(I6228,2)="MV",2*N6228*IF(L6228="1/C",O6228,1),0)</f>
        <v/>
      </c>
      <c r="Y6228" s="12">
        <f>IF(OR(LEFT(K6228,4)="LVAX",LEFT(K6228,6)="MV15AX",LEFT(K6228,4)="CTAX",LEFT(K6228,2)="W|"),2*N6228*O6228,0)</f>
        <v/>
      </c>
      <c r="Z6228" s="12" t="inlineStr"/>
      <c r="AA6228" s="12">
        <f>N6228*O6228</f>
        <v/>
      </c>
    </row>
    <row r="6229">
      <c r="A6229" s="12" t="inlineStr">
        <is>
          <t>C-I-0119</t>
        </is>
      </c>
      <c r="B6229" s="12" t="inlineStr">
        <is>
          <t>C</t>
        </is>
      </c>
      <c r="C6229" s="12" t="inlineStr">
        <is>
          <t>Grid interface</t>
        </is>
      </c>
      <c r="D6229" s="12" t="inlineStr">
        <is>
          <t>Analog instrument to JB JB-Wastewater treatme-AI01: 20 x 1 pr (field cables)</t>
        </is>
      </c>
      <c r="E6229" s="12" t="inlineStr"/>
      <c r="F6229" s="12" t="inlineStr">
        <is>
          <t>Wastewater treatment: rooftop HVAC, exhaust fans, vents</t>
        </is>
      </c>
      <c r="G6229" s="12" t="inlineStr">
        <is>
          <t>JB-Wastewater treatme-AI01</t>
        </is>
      </c>
      <c r="H6229" s="12" t="inlineStr">
        <is>
          <t>Wastewater treatment: rooftop HVAC, exhaust fans, vents</t>
        </is>
      </c>
      <c r="I6229" s="12" t="inlineStr">
        <is>
          <t>Instrumentation</t>
        </is>
      </c>
      <c r="J6229" s="12" t="inlineStr">
        <is>
          <t>Instrumentation PLTC / TC-ER 300 V, #18 twisted shielded pairs, overall shield</t>
        </is>
      </c>
      <c r="K6229" s="12" t="inlineStr">
        <is>
          <t>PLTC|1 pr|16</t>
        </is>
      </c>
      <c r="L6229" s="12" t="inlineStr">
        <is>
          <t>1 pr</t>
        </is>
      </c>
      <c r="M6229" s="12" t="inlineStr">
        <is>
          <t>16</t>
        </is>
      </c>
      <c r="N6229" s="12" t="n">
        <v>20</v>
      </c>
      <c r="O6229" s="12" t="n">
        <v>1</v>
      </c>
      <c r="P6229" s="12" t="n"/>
      <c r="Q6229" s="12" t="n"/>
      <c r="R6229" s="12" t="n"/>
      <c r="S6229" s="12" t="inlineStr">
        <is>
          <t>Tray / conduit</t>
        </is>
      </c>
      <c r="T6229" s="15" t="n">
        <v>89</v>
      </c>
      <c r="U6229" s="15" t="n">
        <v>10</v>
      </c>
      <c r="V6229" s="15">
        <f>ROUNDUP((T6229+U6229+2*'Read Me'!$B$13)*(1+'Read Me'!$B$12),-1)</f>
        <v/>
      </c>
      <c r="W6229" s="15">
        <f>V6229*N6229*O6229</f>
        <v/>
      </c>
      <c r="X6229" s="12">
        <f>IF(LEFT(I6229,2)="MV",2*N6229*IF(L6229="1/C",O6229,1),0)</f>
        <v/>
      </c>
      <c r="Y6229" s="12">
        <f>IF(OR(LEFT(K6229,4)="LVAX",LEFT(K6229,6)="MV15AX",LEFT(K6229,4)="CTAX",LEFT(K6229,2)="W|"),2*N6229*O6229,0)</f>
        <v/>
      </c>
      <c r="Z6229" s="12" t="inlineStr">
        <is>
          <t>device-to-JB field wiring, one cable per device</t>
        </is>
      </c>
      <c r="AA6229" s="12">
        <f>N6229*O6229</f>
        <v/>
      </c>
    </row>
    <row r="6230">
      <c r="A6230" s="12" t="inlineStr">
        <is>
          <t>C-I-0120</t>
        </is>
      </c>
      <c r="B6230" s="12" t="inlineStr">
        <is>
          <t>C</t>
        </is>
      </c>
      <c r="C6230" s="12" t="inlineStr">
        <is>
          <t>Grid interface</t>
        </is>
      </c>
      <c r="D6230" s="12" t="inlineStr">
        <is>
          <t>Home run JB-Wastewater treatme-AI01 to the control / marshalling room</t>
        </is>
      </c>
      <c r="E6230" s="12" t="inlineStr">
        <is>
          <t>R1</t>
        </is>
      </c>
      <c r="F6230" s="12" t="inlineStr">
        <is>
          <t>R1: main electrical building (64 x 180 ft)</t>
        </is>
      </c>
      <c r="G6230" s="12" t="inlineStr">
        <is>
          <t>JB-Wastewater treatme-AI01</t>
        </is>
      </c>
      <c r="H6230" s="12" t="inlineStr">
        <is>
          <t>Wastewater treatment: rooftop HVAC, exhaust fans, vents</t>
        </is>
      </c>
      <c r="I6230" s="12" t="inlineStr">
        <is>
          <t>Instrumentation</t>
        </is>
      </c>
      <c r="J6230" s="12" t="inlineStr">
        <is>
          <t>Instrumentation PLTC / TC-ER 300 V, #18 twisted shielded pairs, overall shield</t>
        </is>
      </c>
      <c r="K6230" s="12" t="inlineStr">
        <is>
          <t>PLTC|24 pr|18</t>
        </is>
      </c>
      <c r="L6230" s="12" t="inlineStr">
        <is>
          <t>24 pr</t>
        </is>
      </c>
      <c r="M6230" s="12" t="inlineStr">
        <is>
          <t>18</t>
        </is>
      </c>
      <c r="N6230" s="12" t="n">
        <v>1</v>
      </c>
      <c r="O6230" s="12" t="n">
        <v>1</v>
      </c>
      <c r="P6230" s="12" t="n"/>
      <c r="Q6230" s="12" t="n"/>
      <c r="R6230" s="12" t="n"/>
      <c r="S6230" s="12" t="inlineStr">
        <is>
          <t>Duct bank</t>
        </is>
      </c>
      <c r="T6230" s="15" t="n">
        <v>1215</v>
      </c>
      <c r="U6230" s="15" t="n">
        <v>99</v>
      </c>
      <c r="V6230" s="15">
        <f>ROUNDUP((T6230+U6230+2*'Read Me'!$B$13)*(1+'Read Me'!$B$12),-1)</f>
        <v/>
      </c>
      <c r="W6230" s="15">
        <f>V6230*N6230*O6230</f>
        <v/>
      </c>
      <c r="X6230" s="12">
        <f>IF(LEFT(I6230,2)="MV",2*N6230*IF(L6230="1/C",O6230,1),0)</f>
        <v/>
      </c>
      <c r="Y6230" s="12">
        <f>IF(OR(LEFT(K6230,4)="LVAX",LEFT(K6230,6)="MV15AX",LEFT(K6230,4)="CTAX",LEFT(K6230,2)="W|"),2*N6230*O6230,0)</f>
        <v/>
      </c>
      <c r="Z6230" s="12" t="inlineStr"/>
      <c r="AA6230" s="12">
        <f>N6230*O6230</f>
        <v/>
      </c>
    </row>
    <row r="6231">
      <c r="A6231" s="12" t="inlineStr">
        <is>
          <t>C-I-0121</t>
        </is>
      </c>
      <c r="B6231" s="12" t="inlineStr">
        <is>
          <t>C</t>
        </is>
      </c>
      <c r="C6231" s="12" t="inlineStr">
        <is>
          <t>Grid interface</t>
        </is>
      </c>
      <c r="D6231" s="12" t="inlineStr">
        <is>
          <t>Discrete device to JB JB-Wastewater treatme-DI01: 20 x 1 pr (field cables)</t>
        </is>
      </c>
      <c r="E6231" s="12" t="inlineStr"/>
      <c r="F6231" s="12" t="inlineStr">
        <is>
          <t>Wastewater treatment: rooftop HVAC, exhaust fans, vents</t>
        </is>
      </c>
      <c r="G6231" s="12" t="inlineStr">
        <is>
          <t>JB-Wastewater treatme-DI01</t>
        </is>
      </c>
      <c r="H6231" s="12" t="inlineStr">
        <is>
          <t>Wastewater treatment: rooftop HVAC, exhaust fans, vents</t>
        </is>
      </c>
      <c r="I6231" s="12" t="inlineStr">
        <is>
          <t>Instrumentation</t>
        </is>
      </c>
      <c r="J6231" s="12" t="inlineStr">
        <is>
          <t>Instrumentation PLTC / TC-ER 300 V, #18 twisted shielded pairs, overall shield</t>
        </is>
      </c>
      <c r="K6231" s="12" t="inlineStr">
        <is>
          <t>PLTC|1 pr|16</t>
        </is>
      </c>
      <c r="L6231" s="12" t="inlineStr">
        <is>
          <t>1 pr</t>
        </is>
      </c>
      <c r="M6231" s="12" t="inlineStr">
        <is>
          <t>16</t>
        </is>
      </c>
      <c r="N6231" s="12" t="n">
        <v>20</v>
      </c>
      <c r="O6231" s="12" t="n">
        <v>1</v>
      </c>
      <c r="P6231" s="12" t="n"/>
      <c r="Q6231" s="12" t="n"/>
      <c r="R6231" s="12" t="n"/>
      <c r="S6231" s="12" t="inlineStr">
        <is>
          <t>Tray / conduit</t>
        </is>
      </c>
      <c r="T6231" s="15" t="n">
        <v>89</v>
      </c>
      <c r="U6231" s="15" t="n">
        <v>10</v>
      </c>
      <c r="V6231" s="15">
        <f>ROUNDUP((T6231+U6231+2*'Read Me'!$B$13)*(1+'Read Me'!$B$12),-1)</f>
        <v/>
      </c>
      <c r="W6231" s="15">
        <f>V6231*N6231*O6231</f>
        <v/>
      </c>
      <c r="X6231" s="12">
        <f>IF(LEFT(I6231,2)="MV",2*N6231*IF(L6231="1/C",O6231,1),0)</f>
        <v/>
      </c>
      <c r="Y6231" s="12">
        <f>IF(OR(LEFT(K6231,4)="LVAX",LEFT(K6231,6)="MV15AX",LEFT(K6231,4)="CTAX",LEFT(K6231,2)="W|"),2*N6231*O6231,0)</f>
        <v/>
      </c>
      <c r="Z6231" s="12" t="inlineStr">
        <is>
          <t>device-to-JB field wiring, one cable per device</t>
        </is>
      </c>
      <c r="AA6231" s="12">
        <f>N6231*O6231</f>
        <v/>
      </c>
    </row>
    <row r="6232">
      <c r="A6232" s="12" t="inlineStr">
        <is>
          <t>C-I-0122</t>
        </is>
      </c>
      <c r="B6232" s="12" t="inlineStr">
        <is>
          <t>C</t>
        </is>
      </c>
      <c r="C6232" s="12" t="inlineStr">
        <is>
          <t>Grid interface</t>
        </is>
      </c>
      <c r="D6232" s="12" t="inlineStr">
        <is>
          <t>Home run JB-Wastewater treatme-DI01 to the control / marshalling room</t>
        </is>
      </c>
      <c r="E6232" s="12" t="inlineStr">
        <is>
          <t>R1</t>
        </is>
      </c>
      <c r="F6232" s="12" t="inlineStr">
        <is>
          <t>R1: main electrical building (64 x 180 ft)</t>
        </is>
      </c>
      <c r="G6232" s="12" t="inlineStr">
        <is>
          <t>JB-Wastewater treatme-DI01</t>
        </is>
      </c>
      <c r="H6232" s="12" t="inlineStr">
        <is>
          <t>Wastewater treatment: rooftop HVAC, exhaust fans, vents</t>
        </is>
      </c>
      <c r="I6232" s="12" t="inlineStr">
        <is>
          <t>Instrumentation</t>
        </is>
      </c>
      <c r="J6232" s="12" t="inlineStr">
        <is>
          <t>Instrumentation PLTC / TC-ER 300 V, #18 twisted shielded pairs, overall shield</t>
        </is>
      </c>
      <c r="K6232" s="12" t="inlineStr">
        <is>
          <t>PLTC|24 pr|18</t>
        </is>
      </c>
      <c r="L6232" s="12" t="inlineStr">
        <is>
          <t>24 pr</t>
        </is>
      </c>
      <c r="M6232" s="12" t="inlineStr">
        <is>
          <t>18</t>
        </is>
      </c>
      <c r="N6232" s="12" t="n">
        <v>1</v>
      </c>
      <c r="O6232" s="12" t="n">
        <v>1</v>
      </c>
      <c r="P6232" s="12" t="n"/>
      <c r="Q6232" s="12" t="n"/>
      <c r="R6232" s="12" t="n"/>
      <c r="S6232" s="12" t="inlineStr">
        <is>
          <t>Duct bank</t>
        </is>
      </c>
      <c r="T6232" s="15" t="n">
        <v>1215</v>
      </c>
      <c r="U6232" s="15" t="n">
        <v>99</v>
      </c>
      <c r="V6232" s="15">
        <f>ROUNDUP((T6232+U6232+2*'Read Me'!$B$13)*(1+'Read Me'!$B$12),-1)</f>
        <v/>
      </c>
      <c r="W6232" s="15">
        <f>V6232*N6232*O6232</f>
        <v/>
      </c>
      <c r="X6232" s="12">
        <f>IF(LEFT(I6232,2)="MV",2*N6232*IF(L6232="1/C",O6232,1),0)</f>
        <v/>
      </c>
      <c r="Y6232" s="12">
        <f>IF(OR(LEFT(K6232,4)="LVAX",LEFT(K6232,6)="MV15AX",LEFT(K6232,4)="CTAX",LEFT(K6232,2)="W|"),2*N6232*O6232,0)</f>
        <v/>
      </c>
      <c r="Z6232" s="12" t="inlineStr"/>
      <c r="AA6232" s="12">
        <f>N6232*O6232</f>
        <v/>
      </c>
    </row>
    <row r="6233">
      <c r="A6233" s="12" t="inlineStr">
        <is>
          <t>C-I-0123</t>
        </is>
      </c>
      <c r="B6233" s="12" t="inlineStr">
        <is>
          <t>C</t>
        </is>
      </c>
      <c r="C6233" s="12" t="inlineStr">
        <is>
          <t>Grid interface</t>
        </is>
      </c>
      <c r="D6233" s="12" t="inlineStr">
        <is>
          <t>Discrete device to JB JB-Wastewater treatme-DI02: 10 x 1 pr (field cables)</t>
        </is>
      </c>
      <c r="E6233" s="12" t="inlineStr"/>
      <c r="F6233" s="12" t="inlineStr">
        <is>
          <t>Wastewater treatment: rooftop HVAC, exhaust fans, vents</t>
        </is>
      </c>
      <c r="G6233" s="12" t="inlineStr">
        <is>
          <t>JB-Wastewater treatme-DI02</t>
        </is>
      </c>
      <c r="H6233" s="12" t="inlineStr">
        <is>
          <t>Wastewater treatment: rooftop HVAC, exhaust fans, vents</t>
        </is>
      </c>
      <c r="I6233" s="12" t="inlineStr">
        <is>
          <t>Instrumentation</t>
        </is>
      </c>
      <c r="J6233" s="12" t="inlineStr">
        <is>
          <t>Instrumentation PLTC / TC-ER 300 V, #18 twisted shielded pairs, overall shield</t>
        </is>
      </c>
      <c r="K6233" s="12" t="inlineStr">
        <is>
          <t>PLTC|1 pr|16</t>
        </is>
      </c>
      <c r="L6233" s="12" t="inlineStr">
        <is>
          <t>1 pr</t>
        </is>
      </c>
      <c r="M6233" s="12" t="inlineStr">
        <is>
          <t>16</t>
        </is>
      </c>
      <c r="N6233" s="12" t="n">
        <v>10</v>
      </c>
      <c r="O6233" s="12" t="n">
        <v>1</v>
      </c>
      <c r="P6233" s="12" t="n"/>
      <c r="Q6233" s="12" t="n"/>
      <c r="R6233" s="12" t="n"/>
      <c r="S6233" s="12" t="inlineStr">
        <is>
          <t>Tray / conduit</t>
        </is>
      </c>
      <c r="T6233" s="15" t="n">
        <v>89</v>
      </c>
      <c r="U6233" s="15" t="n">
        <v>10</v>
      </c>
      <c r="V6233" s="15">
        <f>ROUNDUP((T6233+U6233+2*'Read Me'!$B$13)*(1+'Read Me'!$B$12),-1)</f>
        <v/>
      </c>
      <c r="W6233" s="15">
        <f>V6233*N6233*O6233</f>
        <v/>
      </c>
      <c r="X6233" s="12">
        <f>IF(LEFT(I6233,2)="MV",2*N6233*IF(L6233="1/C",O6233,1),0)</f>
        <v/>
      </c>
      <c r="Y6233" s="12">
        <f>IF(OR(LEFT(K6233,4)="LVAX",LEFT(K6233,6)="MV15AX",LEFT(K6233,4)="CTAX",LEFT(K6233,2)="W|"),2*N6233*O6233,0)</f>
        <v/>
      </c>
      <c r="Z6233" s="12" t="inlineStr">
        <is>
          <t>device-to-JB field wiring, one cable per device</t>
        </is>
      </c>
      <c r="AA6233" s="12">
        <f>N6233*O6233</f>
        <v/>
      </c>
    </row>
    <row r="6234">
      <c r="A6234" s="12" t="inlineStr">
        <is>
          <t>C-I-0124</t>
        </is>
      </c>
      <c r="B6234" s="12" t="inlineStr">
        <is>
          <t>C</t>
        </is>
      </c>
      <c r="C6234" s="12" t="inlineStr">
        <is>
          <t>Grid interface</t>
        </is>
      </c>
      <c r="D6234" s="12" t="inlineStr">
        <is>
          <t>Home run JB-Wastewater treatme-DI02 to the control / marshalling room</t>
        </is>
      </c>
      <c r="E6234" s="12" t="inlineStr">
        <is>
          <t>R1</t>
        </is>
      </c>
      <c r="F6234" s="12" t="inlineStr">
        <is>
          <t>R1: main electrical building (64 x 180 ft)</t>
        </is>
      </c>
      <c r="G6234" s="12" t="inlineStr">
        <is>
          <t>JB-Wastewater treatme-DI02</t>
        </is>
      </c>
      <c r="H6234" s="12" t="inlineStr">
        <is>
          <t>Wastewater treatment: rooftop HVAC, exhaust fans, vents</t>
        </is>
      </c>
      <c r="I6234" s="12" t="inlineStr">
        <is>
          <t>Instrumentation</t>
        </is>
      </c>
      <c r="J6234" s="12" t="inlineStr">
        <is>
          <t>Instrumentation PLTC / TC-ER 300 V, #18 twisted shielded pairs, overall shield</t>
        </is>
      </c>
      <c r="K6234" s="12" t="inlineStr">
        <is>
          <t>PLTC|24 pr|18</t>
        </is>
      </c>
      <c r="L6234" s="12" t="inlineStr">
        <is>
          <t>24 pr</t>
        </is>
      </c>
      <c r="M6234" s="12" t="inlineStr">
        <is>
          <t>18</t>
        </is>
      </c>
      <c r="N6234" s="12" t="n">
        <v>1</v>
      </c>
      <c r="O6234" s="12" t="n">
        <v>1</v>
      </c>
      <c r="P6234" s="12" t="n"/>
      <c r="Q6234" s="12" t="n"/>
      <c r="R6234" s="12" t="n"/>
      <c r="S6234" s="12" t="inlineStr">
        <is>
          <t>Duct bank</t>
        </is>
      </c>
      <c r="T6234" s="15" t="n">
        <v>1215</v>
      </c>
      <c r="U6234" s="15" t="n">
        <v>99</v>
      </c>
      <c r="V6234" s="15">
        <f>ROUNDUP((T6234+U6234+2*'Read Me'!$B$13)*(1+'Read Me'!$B$12),-1)</f>
        <v/>
      </c>
      <c r="W6234" s="15">
        <f>V6234*N6234*O6234</f>
        <v/>
      </c>
      <c r="X6234" s="12">
        <f>IF(LEFT(I6234,2)="MV",2*N6234*IF(L6234="1/C",O6234,1),0)</f>
        <v/>
      </c>
      <c r="Y6234" s="12">
        <f>IF(OR(LEFT(K6234,4)="LVAX",LEFT(K6234,6)="MV15AX",LEFT(K6234,4)="CTAX",LEFT(K6234,2)="W|"),2*N6234*O6234,0)</f>
        <v/>
      </c>
      <c r="Z6234" s="12" t="inlineStr"/>
      <c r="AA6234" s="12">
        <f>N6234*O6234</f>
        <v/>
      </c>
    </row>
    <row r="6235">
      <c r="A6235" s="12" t="inlineStr">
        <is>
          <t>C-I-0125</t>
        </is>
      </c>
      <c r="B6235" s="12" t="inlineStr">
        <is>
          <t>C</t>
        </is>
      </c>
      <c r="C6235" s="12" t="inlineStr">
        <is>
          <t>Grid interface</t>
        </is>
      </c>
      <c r="D6235" s="12" t="inlineStr">
        <is>
          <t>Analog instrument to JB JB-Water treatment bu-AI01: 20 x 1 pr (field cables)</t>
        </is>
      </c>
      <c r="E6235" s="12" t="inlineStr"/>
      <c r="F6235" s="12" t="inlineStr">
        <is>
          <t>Water treatment building: rooftop HVAC, exhaust fans, vents</t>
        </is>
      </c>
      <c r="G6235" s="12" t="inlineStr">
        <is>
          <t>JB-Water treatment bu-AI01</t>
        </is>
      </c>
      <c r="H6235" s="12" t="inlineStr">
        <is>
          <t>Water treatment building: rooftop HVAC, exhaust fans, vents</t>
        </is>
      </c>
      <c r="I6235" s="12" t="inlineStr">
        <is>
          <t>Instrumentation</t>
        </is>
      </c>
      <c r="J6235" s="12" t="inlineStr">
        <is>
          <t>Instrumentation PLTC / TC-ER 300 V, #18 twisted shielded pairs, overall shield</t>
        </is>
      </c>
      <c r="K6235" s="12" t="inlineStr">
        <is>
          <t>PLTC|1 pr|16</t>
        </is>
      </c>
      <c r="L6235" s="12" t="inlineStr">
        <is>
          <t>1 pr</t>
        </is>
      </c>
      <c r="M6235" s="12" t="inlineStr">
        <is>
          <t>16</t>
        </is>
      </c>
      <c r="N6235" s="12" t="n">
        <v>20</v>
      </c>
      <c r="O6235" s="12" t="n">
        <v>1</v>
      </c>
      <c r="P6235" s="12" t="n"/>
      <c r="Q6235" s="12" t="n"/>
      <c r="R6235" s="12" t="n"/>
      <c r="S6235" s="12" t="inlineStr">
        <is>
          <t>Tray / conduit</t>
        </is>
      </c>
      <c r="T6235" s="15" t="n">
        <v>162</v>
      </c>
      <c r="U6235" s="15" t="n">
        <v>10</v>
      </c>
      <c r="V6235" s="15">
        <f>ROUNDUP((T6235+U6235+2*'Read Me'!$B$13)*(1+'Read Me'!$B$12),-1)</f>
        <v/>
      </c>
      <c r="W6235" s="15">
        <f>V6235*N6235*O6235</f>
        <v/>
      </c>
      <c r="X6235" s="12">
        <f>IF(LEFT(I6235,2)="MV",2*N6235*IF(L6235="1/C",O6235,1),0)</f>
        <v/>
      </c>
      <c r="Y6235" s="12">
        <f>IF(OR(LEFT(K6235,4)="LVAX",LEFT(K6235,6)="MV15AX",LEFT(K6235,4)="CTAX",LEFT(K6235,2)="W|"),2*N6235*O6235,0)</f>
        <v/>
      </c>
      <c r="Z6235" s="12" t="inlineStr">
        <is>
          <t>device-to-JB field wiring, one cable per device</t>
        </is>
      </c>
      <c r="AA6235" s="12">
        <f>N6235*O6235</f>
        <v/>
      </c>
    </row>
    <row r="6236">
      <c r="A6236" s="12" t="inlineStr">
        <is>
          <t>C-I-0126</t>
        </is>
      </c>
      <c r="B6236" s="12" t="inlineStr">
        <is>
          <t>C</t>
        </is>
      </c>
      <c r="C6236" s="12" t="inlineStr">
        <is>
          <t>Grid interface</t>
        </is>
      </c>
      <c r="D6236" s="12" t="inlineStr">
        <is>
          <t>Home run JB-Water treatment bu-AI01 to the control / marshalling room</t>
        </is>
      </c>
      <c r="E6236" s="12" t="inlineStr">
        <is>
          <t>R1</t>
        </is>
      </c>
      <c r="F6236" s="12" t="inlineStr">
        <is>
          <t>R1: main electrical building (64 x 180 ft)</t>
        </is>
      </c>
      <c r="G6236" s="12" t="inlineStr">
        <is>
          <t>JB-Water treatment bu-AI01</t>
        </is>
      </c>
      <c r="H6236" s="12" t="inlineStr">
        <is>
          <t>Water treatment building: rooftop HVAC, exhaust fans, vents</t>
        </is>
      </c>
      <c r="I6236" s="12" t="inlineStr">
        <is>
          <t>Instrumentation</t>
        </is>
      </c>
      <c r="J6236" s="12" t="inlineStr">
        <is>
          <t>Instrumentation PLTC / TC-ER 300 V, #18 twisted shielded pairs, overall shield</t>
        </is>
      </c>
      <c r="K6236" s="12" t="inlineStr">
        <is>
          <t>PLTC|24 pr|18</t>
        </is>
      </c>
      <c r="L6236" s="12" t="inlineStr">
        <is>
          <t>24 pr</t>
        </is>
      </c>
      <c r="M6236" s="12" t="inlineStr">
        <is>
          <t>18</t>
        </is>
      </c>
      <c r="N6236" s="12" t="n">
        <v>1</v>
      </c>
      <c r="O6236" s="12" t="n">
        <v>1</v>
      </c>
      <c r="P6236" s="12" t="n"/>
      <c r="Q6236" s="12" t="n"/>
      <c r="R6236" s="12" t="n"/>
      <c r="S6236" s="12" t="inlineStr">
        <is>
          <t>Duct bank</t>
        </is>
      </c>
      <c r="T6236" s="15" t="n">
        <v>985</v>
      </c>
      <c r="U6236" s="15" t="n">
        <v>32</v>
      </c>
      <c r="V6236" s="15">
        <f>ROUNDUP((T6236+U6236+2*'Read Me'!$B$13)*(1+'Read Me'!$B$12),-1)</f>
        <v/>
      </c>
      <c r="W6236" s="15">
        <f>V6236*N6236*O6236</f>
        <v/>
      </c>
      <c r="X6236" s="12">
        <f>IF(LEFT(I6236,2)="MV",2*N6236*IF(L6236="1/C",O6236,1),0)</f>
        <v/>
      </c>
      <c r="Y6236" s="12">
        <f>IF(OR(LEFT(K6236,4)="LVAX",LEFT(K6236,6)="MV15AX",LEFT(K6236,4)="CTAX",LEFT(K6236,2)="W|"),2*N6236*O6236,0)</f>
        <v/>
      </c>
      <c r="Z6236" s="12" t="inlineStr"/>
      <c r="AA6236" s="12">
        <f>N6236*O6236</f>
        <v/>
      </c>
    </row>
    <row r="6237">
      <c r="A6237" s="12" t="inlineStr">
        <is>
          <t>C-I-0127</t>
        </is>
      </c>
      <c r="B6237" s="12" t="inlineStr">
        <is>
          <t>C</t>
        </is>
      </c>
      <c r="C6237" s="12" t="inlineStr">
        <is>
          <t>Grid interface</t>
        </is>
      </c>
      <c r="D6237" s="12" t="inlineStr">
        <is>
          <t>Analog instrument to JB JB-Water treatment bu-AI02: 20 x 1 pr (field cables)</t>
        </is>
      </c>
      <c r="E6237" s="12" t="inlineStr"/>
      <c r="F6237" s="12" t="inlineStr">
        <is>
          <t>Water treatment building: rooftop HVAC, exhaust fans, vents</t>
        </is>
      </c>
      <c r="G6237" s="12" t="inlineStr">
        <is>
          <t>JB-Water treatment bu-AI02</t>
        </is>
      </c>
      <c r="H6237" s="12" t="inlineStr">
        <is>
          <t>Water treatment building: rooftop HVAC, exhaust fans, vents</t>
        </is>
      </c>
      <c r="I6237" s="12" t="inlineStr">
        <is>
          <t>Instrumentation</t>
        </is>
      </c>
      <c r="J6237" s="12" t="inlineStr">
        <is>
          <t>Instrumentation PLTC / TC-ER 300 V, #18 twisted shielded pairs, overall shield</t>
        </is>
      </c>
      <c r="K6237" s="12" t="inlineStr">
        <is>
          <t>PLTC|1 pr|16</t>
        </is>
      </c>
      <c r="L6237" s="12" t="inlineStr">
        <is>
          <t>1 pr</t>
        </is>
      </c>
      <c r="M6237" s="12" t="inlineStr">
        <is>
          <t>16</t>
        </is>
      </c>
      <c r="N6237" s="12" t="n">
        <v>20</v>
      </c>
      <c r="O6237" s="12" t="n">
        <v>1</v>
      </c>
      <c r="P6237" s="12" t="n"/>
      <c r="Q6237" s="12" t="n"/>
      <c r="R6237" s="12" t="n"/>
      <c r="S6237" s="12" t="inlineStr">
        <is>
          <t>Tray / conduit</t>
        </is>
      </c>
      <c r="T6237" s="15" t="n">
        <v>162</v>
      </c>
      <c r="U6237" s="15" t="n">
        <v>10</v>
      </c>
      <c r="V6237" s="15">
        <f>ROUNDUP((T6237+U6237+2*'Read Me'!$B$13)*(1+'Read Me'!$B$12),-1)</f>
        <v/>
      </c>
      <c r="W6237" s="15">
        <f>V6237*N6237*O6237</f>
        <v/>
      </c>
      <c r="X6237" s="12">
        <f>IF(LEFT(I6237,2)="MV",2*N6237*IF(L6237="1/C",O6237,1),0)</f>
        <v/>
      </c>
      <c r="Y6237" s="12">
        <f>IF(OR(LEFT(K6237,4)="LVAX",LEFT(K6237,6)="MV15AX",LEFT(K6237,4)="CTAX",LEFT(K6237,2)="W|"),2*N6237*O6237,0)</f>
        <v/>
      </c>
      <c r="Z6237" s="12" t="inlineStr">
        <is>
          <t>device-to-JB field wiring, one cable per device</t>
        </is>
      </c>
      <c r="AA6237" s="12">
        <f>N6237*O6237</f>
        <v/>
      </c>
    </row>
    <row r="6238">
      <c r="A6238" s="12" t="inlineStr">
        <is>
          <t>C-I-0128</t>
        </is>
      </c>
      <c r="B6238" s="12" t="inlineStr">
        <is>
          <t>C</t>
        </is>
      </c>
      <c r="C6238" s="12" t="inlineStr">
        <is>
          <t>Grid interface</t>
        </is>
      </c>
      <c r="D6238" s="12" t="inlineStr">
        <is>
          <t>Home run JB-Water treatment bu-AI02 to the control / marshalling room</t>
        </is>
      </c>
      <c r="E6238" s="12" t="inlineStr">
        <is>
          <t>R1</t>
        </is>
      </c>
      <c r="F6238" s="12" t="inlineStr">
        <is>
          <t>R1: main electrical building (64 x 180 ft)</t>
        </is>
      </c>
      <c r="G6238" s="12" t="inlineStr">
        <is>
          <t>JB-Water treatment bu-AI02</t>
        </is>
      </c>
      <c r="H6238" s="12" t="inlineStr">
        <is>
          <t>Water treatment building: rooftop HVAC, exhaust fans, vents</t>
        </is>
      </c>
      <c r="I6238" s="12" t="inlineStr">
        <is>
          <t>Instrumentation</t>
        </is>
      </c>
      <c r="J6238" s="12" t="inlineStr">
        <is>
          <t>Instrumentation PLTC / TC-ER 300 V, #18 twisted shielded pairs, overall shield</t>
        </is>
      </c>
      <c r="K6238" s="12" t="inlineStr">
        <is>
          <t>PLTC|24 pr|18</t>
        </is>
      </c>
      <c r="L6238" s="12" t="inlineStr">
        <is>
          <t>24 pr</t>
        </is>
      </c>
      <c r="M6238" s="12" t="inlineStr">
        <is>
          <t>18</t>
        </is>
      </c>
      <c r="N6238" s="12" t="n">
        <v>1</v>
      </c>
      <c r="O6238" s="12" t="n">
        <v>1</v>
      </c>
      <c r="P6238" s="12" t="n"/>
      <c r="Q6238" s="12" t="n"/>
      <c r="R6238" s="12" t="n"/>
      <c r="S6238" s="12" t="inlineStr">
        <is>
          <t>Duct bank</t>
        </is>
      </c>
      <c r="T6238" s="15" t="n">
        <v>985</v>
      </c>
      <c r="U6238" s="15" t="n">
        <v>32</v>
      </c>
      <c r="V6238" s="15">
        <f>ROUNDUP((T6238+U6238+2*'Read Me'!$B$13)*(1+'Read Me'!$B$12),-1)</f>
        <v/>
      </c>
      <c r="W6238" s="15">
        <f>V6238*N6238*O6238</f>
        <v/>
      </c>
      <c r="X6238" s="12">
        <f>IF(LEFT(I6238,2)="MV",2*N6238*IF(L6238="1/C",O6238,1),0)</f>
        <v/>
      </c>
      <c r="Y6238" s="12">
        <f>IF(OR(LEFT(K6238,4)="LVAX",LEFT(K6238,6)="MV15AX",LEFT(K6238,4)="CTAX",LEFT(K6238,2)="W|"),2*N6238*O6238,0)</f>
        <v/>
      </c>
      <c r="Z6238" s="12" t="inlineStr"/>
      <c r="AA6238" s="12">
        <f>N6238*O6238</f>
        <v/>
      </c>
    </row>
    <row r="6239">
      <c r="A6239" s="12" t="inlineStr">
        <is>
          <t>C-I-0129</t>
        </is>
      </c>
      <c r="B6239" s="12" t="inlineStr">
        <is>
          <t>C</t>
        </is>
      </c>
      <c r="C6239" s="12" t="inlineStr">
        <is>
          <t>Grid interface</t>
        </is>
      </c>
      <c r="D6239" s="12" t="inlineStr">
        <is>
          <t>Analog instrument to JB JB-Water treatment bu-AI03: 20 x 1 pr (field cables)</t>
        </is>
      </c>
      <c r="E6239" s="12" t="inlineStr"/>
      <c r="F6239" s="12" t="inlineStr">
        <is>
          <t>Water treatment building: rooftop HVAC, exhaust fans, vents</t>
        </is>
      </c>
      <c r="G6239" s="12" t="inlineStr">
        <is>
          <t>JB-Water treatment bu-AI03</t>
        </is>
      </c>
      <c r="H6239" s="12" t="inlineStr">
        <is>
          <t>Water treatment building: rooftop HVAC, exhaust fans, vents</t>
        </is>
      </c>
      <c r="I6239" s="12" t="inlineStr">
        <is>
          <t>Instrumentation</t>
        </is>
      </c>
      <c r="J6239" s="12" t="inlineStr">
        <is>
          <t>Instrumentation PLTC / TC-ER 300 V, #18 twisted shielded pairs, overall shield</t>
        </is>
      </c>
      <c r="K6239" s="12" t="inlineStr">
        <is>
          <t>PLTC|1 pr|16</t>
        </is>
      </c>
      <c r="L6239" s="12" t="inlineStr">
        <is>
          <t>1 pr</t>
        </is>
      </c>
      <c r="M6239" s="12" t="inlineStr">
        <is>
          <t>16</t>
        </is>
      </c>
      <c r="N6239" s="12" t="n">
        <v>20</v>
      </c>
      <c r="O6239" s="12" t="n">
        <v>1</v>
      </c>
      <c r="P6239" s="12" t="n"/>
      <c r="Q6239" s="12" t="n"/>
      <c r="R6239" s="12" t="n"/>
      <c r="S6239" s="12" t="inlineStr">
        <is>
          <t>Tray / conduit</t>
        </is>
      </c>
      <c r="T6239" s="15" t="n">
        <v>162</v>
      </c>
      <c r="U6239" s="15" t="n">
        <v>10</v>
      </c>
      <c r="V6239" s="15">
        <f>ROUNDUP((T6239+U6239+2*'Read Me'!$B$13)*(1+'Read Me'!$B$12),-1)</f>
        <v/>
      </c>
      <c r="W6239" s="15">
        <f>V6239*N6239*O6239</f>
        <v/>
      </c>
      <c r="X6239" s="12">
        <f>IF(LEFT(I6239,2)="MV",2*N6239*IF(L6239="1/C",O6239,1),0)</f>
        <v/>
      </c>
      <c r="Y6239" s="12">
        <f>IF(OR(LEFT(K6239,4)="LVAX",LEFT(K6239,6)="MV15AX",LEFT(K6239,4)="CTAX",LEFT(K6239,2)="W|"),2*N6239*O6239,0)</f>
        <v/>
      </c>
      <c r="Z6239" s="12" t="inlineStr">
        <is>
          <t>device-to-JB field wiring, one cable per device</t>
        </is>
      </c>
      <c r="AA6239" s="12">
        <f>N6239*O6239</f>
        <v/>
      </c>
    </row>
    <row r="6240">
      <c r="A6240" s="12" t="inlineStr">
        <is>
          <t>C-I-0130</t>
        </is>
      </c>
      <c r="B6240" s="12" t="inlineStr">
        <is>
          <t>C</t>
        </is>
      </c>
      <c r="C6240" s="12" t="inlineStr">
        <is>
          <t>Grid interface</t>
        </is>
      </c>
      <c r="D6240" s="12" t="inlineStr">
        <is>
          <t>Home run JB-Water treatment bu-AI03 to the control / marshalling room</t>
        </is>
      </c>
      <c r="E6240" s="12" t="inlineStr">
        <is>
          <t>R1</t>
        </is>
      </c>
      <c r="F6240" s="12" t="inlineStr">
        <is>
          <t>R1: main electrical building (64 x 180 ft)</t>
        </is>
      </c>
      <c r="G6240" s="12" t="inlineStr">
        <is>
          <t>JB-Water treatment bu-AI03</t>
        </is>
      </c>
      <c r="H6240" s="12" t="inlineStr">
        <is>
          <t>Water treatment building: rooftop HVAC, exhaust fans, vents</t>
        </is>
      </c>
      <c r="I6240" s="12" t="inlineStr">
        <is>
          <t>Instrumentation</t>
        </is>
      </c>
      <c r="J6240" s="12" t="inlineStr">
        <is>
          <t>Instrumentation PLTC / TC-ER 300 V, #18 twisted shielded pairs, overall shield</t>
        </is>
      </c>
      <c r="K6240" s="12" t="inlineStr">
        <is>
          <t>PLTC|24 pr|18</t>
        </is>
      </c>
      <c r="L6240" s="12" t="inlineStr">
        <is>
          <t>24 pr</t>
        </is>
      </c>
      <c r="M6240" s="12" t="inlineStr">
        <is>
          <t>18</t>
        </is>
      </c>
      <c r="N6240" s="12" t="n">
        <v>1</v>
      </c>
      <c r="O6240" s="12" t="n">
        <v>1</v>
      </c>
      <c r="P6240" s="12" t="n"/>
      <c r="Q6240" s="12" t="n"/>
      <c r="R6240" s="12" t="n"/>
      <c r="S6240" s="12" t="inlineStr">
        <is>
          <t>Duct bank</t>
        </is>
      </c>
      <c r="T6240" s="15" t="n">
        <v>985</v>
      </c>
      <c r="U6240" s="15" t="n">
        <v>32</v>
      </c>
      <c r="V6240" s="15">
        <f>ROUNDUP((T6240+U6240+2*'Read Me'!$B$13)*(1+'Read Me'!$B$12),-1)</f>
        <v/>
      </c>
      <c r="W6240" s="15">
        <f>V6240*N6240*O6240</f>
        <v/>
      </c>
      <c r="X6240" s="12">
        <f>IF(LEFT(I6240,2)="MV",2*N6240*IF(L6240="1/C",O6240,1),0)</f>
        <v/>
      </c>
      <c r="Y6240" s="12">
        <f>IF(OR(LEFT(K6240,4)="LVAX",LEFT(K6240,6)="MV15AX",LEFT(K6240,4)="CTAX",LEFT(K6240,2)="W|"),2*N6240*O6240,0)</f>
        <v/>
      </c>
      <c r="Z6240" s="12" t="inlineStr"/>
      <c r="AA6240" s="12">
        <f>N6240*O6240</f>
        <v/>
      </c>
    </row>
    <row r="6241">
      <c r="A6241" s="12" t="inlineStr">
        <is>
          <t>C-I-0131</t>
        </is>
      </c>
      <c r="B6241" s="12" t="inlineStr">
        <is>
          <t>C</t>
        </is>
      </c>
      <c r="C6241" s="12" t="inlineStr">
        <is>
          <t>Grid interface</t>
        </is>
      </c>
      <c r="D6241" s="12" t="inlineStr">
        <is>
          <t>Discrete device to JB JB-Water treatment bu-DI01: 20 x 1 pr (field cables)</t>
        </is>
      </c>
      <c r="E6241" s="12" t="inlineStr"/>
      <c r="F6241" s="12" t="inlineStr">
        <is>
          <t>Water treatment building: rooftop HVAC, exhaust fans, vents</t>
        </is>
      </c>
      <c r="G6241" s="12" t="inlineStr">
        <is>
          <t>JB-Water treatment bu-DI01</t>
        </is>
      </c>
      <c r="H6241" s="12" t="inlineStr">
        <is>
          <t>Water treatment building: rooftop HVAC, exhaust fans, vents</t>
        </is>
      </c>
      <c r="I6241" s="12" t="inlineStr">
        <is>
          <t>Instrumentation</t>
        </is>
      </c>
      <c r="J6241" s="12" t="inlineStr">
        <is>
          <t>Instrumentation PLTC / TC-ER 300 V, #18 twisted shielded pairs, overall shield</t>
        </is>
      </c>
      <c r="K6241" s="12" t="inlineStr">
        <is>
          <t>PLTC|1 pr|16</t>
        </is>
      </c>
      <c r="L6241" s="12" t="inlineStr">
        <is>
          <t>1 pr</t>
        </is>
      </c>
      <c r="M6241" s="12" t="inlineStr">
        <is>
          <t>16</t>
        </is>
      </c>
      <c r="N6241" s="12" t="n">
        <v>20</v>
      </c>
      <c r="O6241" s="12" t="n">
        <v>1</v>
      </c>
      <c r="P6241" s="12" t="n"/>
      <c r="Q6241" s="12" t="n"/>
      <c r="R6241" s="12" t="n"/>
      <c r="S6241" s="12" t="inlineStr">
        <is>
          <t>Tray / conduit</t>
        </is>
      </c>
      <c r="T6241" s="15" t="n">
        <v>162</v>
      </c>
      <c r="U6241" s="15" t="n">
        <v>10</v>
      </c>
      <c r="V6241" s="15">
        <f>ROUNDUP((T6241+U6241+2*'Read Me'!$B$13)*(1+'Read Me'!$B$12),-1)</f>
        <v/>
      </c>
      <c r="W6241" s="15">
        <f>V6241*N6241*O6241</f>
        <v/>
      </c>
      <c r="X6241" s="12">
        <f>IF(LEFT(I6241,2)="MV",2*N6241*IF(L6241="1/C",O6241,1),0)</f>
        <v/>
      </c>
      <c r="Y6241" s="12">
        <f>IF(OR(LEFT(K6241,4)="LVAX",LEFT(K6241,6)="MV15AX",LEFT(K6241,4)="CTAX",LEFT(K6241,2)="W|"),2*N6241*O6241,0)</f>
        <v/>
      </c>
      <c r="Z6241" s="12" t="inlineStr">
        <is>
          <t>device-to-JB field wiring, one cable per device</t>
        </is>
      </c>
      <c r="AA6241" s="12">
        <f>N6241*O6241</f>
        <v/>
      </c>
    </row>
    <row r="6242">
      <c r="A6242" s="12" t="inlineStr">
        <is>
          <t>C-I-0132</t>
        </is>
      </c>
      <c r="B6242" s="12" t="inlineStr">
        <is>
          <t>C</t>
        </is>
      </c>
      <c r="C6242" s="12" t="inlineStr">
        <is>
          <t>Grid interface</t>
        </is>
      </c>
      <c r="D6242" s="12" t="inlineStr">
        <is>
          <t>Home run JB-Water treatment bu-DI01 to the control / marshalling room</t>
        </is>
      </c>
      <c r="E6242" s="12" t="inlineStr">
        <is>
          <t>R1</t>
        </is>
      </c>
      <c r="F6242" s="12" t="inlineStr">
        <is>
          <t>R1: main electrical building (64 x 180 ft)</t>
        </is>
      </c>
      <c r="G6242" s="12" t="inlineStr">
        <is>
          <t>JB-Water treatment bu-DI01</t>
        </is>
      </c>
      <c r="H6242" s="12" t="inlineStr">
        <is>
          <t>Water treatment building: rooftop HVAC, exhaust fans, vents</t>
        </is>
      </c>
      <c r="I6242" s="12" t="inlineStr">
        <is>
          <t>Instrumentation</t>
        </is>
      </c>
      <c r="J6242" s="12" t="inlineStr">
        <is>
          <t>Instrumentation PLTC / TC-ER 300 V, #18 twisted shielded pairs, overall shield</t>
        </is>
      </c>
      <c r="K6242" s="12" t="inlineStr">
        <is>
          <t>PLTC|24 pr|18</t>
        </is>
      </c>
      <c r="L6242" s="12" t="inlineStr">
        <is>
          <t>24 pr</t>
        </is>
      </c>
      <c r="M6242" s="12" t="inlineStr">
        <is>
          <t>18</t>
        </is>
      </c>
      <c r="N6242" s="12" t="n">
        <v>1</v>
      </c>
      <c r="O6242" s="12" t="n">
        <v>1</v>
      </c>
      <c r="P6242" s="12" t="n"/>
      <c r="Q6242" s="12" t="n"/>
      <c r="R6242" s="12" t="n"/>
      <c r="S6242" s="12" t="inlineStr">
        <is>
          <t>Duct bank</t>
        </is>
      </c>
      <c r="T6242" s="15" t="n">
        <v>985</v>
      </c>
      <c r="U6242" s="15" t="n">
        <v>32</v>
      </c>
      <c r="V6242" s="15">
        <f>ROUNDUP((T6242+U6242+2*'Read Me'!$B$13)*(1+'Read Me'!$B$12),-1)</f>
        <v/>
      </c>
      <c r="W6242" s="15">
        <f>V6242*N6242*O6242</f>
        <v/>
      </c>
      <c r="X6242" s="12">
        <f>IF(LEFT(I6242,2)="MV",2*N6242*IF(L6242="1/C",O6242,1),0)</f>
        <v/>
      </c>
      <c r="Y6242" s="12">
        <f>IF(OR(LEFT(K6242,4)="LVAX",LEFT(K6242,6)="MV15AX",LEFT(K6242,4)="CTAX",LEFT(K6242,2)="W|"),2*N6242*O6242,0)</f>
        <v/>
      </c>
      <c r="Z6242" s="12" t="inlineStr"/>
      <c r="AA6242" s="12">
        <f>N6242*O6242</f>
        <v/>
      </c>
    </row>
    <row r="6243">
      <c r="A6243" s="12" t="inlineStr">
        <is>
          <t>C-I-0133</t>
        </is>
      </c>
      <c r="B6243" s="12" t="inlineStr">
        <is>
          <t>C</t>
        </is>
      </c>
      <c r="C6243" s="12" t="inlineStr">
        <is>
          <t>Grid interface</t>
        </is>
      </c>
      <c r="D6243" s="12" t="inlineStr">
        <is>
          <t>Discrete device to JB JB-Water treatment bu-DI02: 20 x 1 pr (field cables)</t>
        </is>
      </c>
      <c r="E6243" s="12" t="inlineStr"/>
      <c r="F6243" s="12" t="inlineStr">
        <is>
          <t>Water treatment building: rooftop HVAC, exhaust fans, vents</t>
        </is>
      </c>
      <c r="G6243" s="12" t="inlineStr">
        <is>
          <t>JB-Water treatment bu-DI02</t>
        </is>
      </c>
      <c r="H6243" s="12" t="inlineStr">
        <is>
          <t>Water treatment building: rooftop HVAC, exhaust fans, vents</t>
        </is>
      </c>
      <c r="I6243" s="12" t="inlineStr">
        <is>
          <t>Instrumentation</t>
        </is>
      </c>
      <c r="J6243" s="12" t="inlineStr">
        <is>
          <t>Instrumentation PLTC / TC-ER 300 V, #18 twisted shielded pairs, overall shield</t>
        </is>
      </c>
      <c r="K6243" s="12" t="inlineStr">
        <is>
          <t>PLTC|1 pr|16</t>
        </is>
      </c>
      <c r="L6243" s="12" t="inlineStr">
        <is>
          <t>1 pr</t>
        </is>
      </c>
      <c r="M6243" s="12" t="inlineStr">
        <is>
          <t>16</t>
        </is>
      </c>
      <c r="N6243" s="12" t="n">
        <v>20</v>
      </c>
      <c r="O6243" s="12" t="n">
        <v>1</v>
      </c>
      <c r="P6243" s="12" t="n"/>
      <c r="Q6243" s="12" t="n"/>
      <c r="R6243" s="12" t="n"/>
      <c r="S6243" s="12" t="inlineStr">
        <is>
          <t>Tray / conduit</t>
        </is>
      </c>
      <c r="T6243" s="15" t="n">
        <v>162</v>
      </c>
      <c r="U6243" s="15" t="n">
        <v>10</v>
      </c>
      <c r="V6243" s="15">
        <f>ROUNDUP((T6243+U6243+2*'Read Me'!$B$13)*(1+'Read Me'!$B$12),-1)</f>
        <v/>
      </c>
      <c r="W6243" s="15">
        <f>V6243*N6243*O6243</f>
        <v/>
      </c>
      <c r="X6243" s="12">
        <f>IF(LEFT(I6243,2)="MV",2*N6243*IF(L6243="1/C",O6243,1),0)</f>
        <v/>
      </c>
      <c r="Y6243" s="12">
        <f>IF(OR(LEFT(K6243,4)="LVAX",LEFT(K6243,6)="MV15AX",LEFT(K6243,4)="CTAX",LEFT(K6243,2)="W|"),2*N6243*O6243,0)</f>
        <v/>
      </c>
      <c r="Z6243" s="12" t="inlineStr">
        <is>
          <t>device-to-JB field wiring, one cable per device</t>
        </is>
      </c>
      <c r="AA6243" s="12">
        <f>N6243*O6243</f>
        <v/>
      </c>
    </row>
    <row r="6244">
      <c r="A6244" s="12" t="inlineStr">
        <is>
          <t>C-I-0134</t>
        </is>
      </c>
      <c r="B6244" s="12" t="inlineStr">
        <is>
          <t>C</t>
        </is>
      </c>
      <c r="C6244" s="12" t="inlineStr">
        <is>
          <t>Grid interface</t>
        </is>
      </c>
      <c r="D6244" s="12" t="inlineStr">
        <is>
          <t>Home run JB-Water treatment bu-DI02 to the control / marshalling room</t>
        </is>
      </c>
      <c r="E6244" s="12" t="inlineStr">
        <is>
          <t>R1</t>
        </is>
      </c>
      <c r="F6244" s="12" t="inlineStr">
        <is>
          <t>R1: main electrical building (64 x 180 ft)</t>
        </is>
      </c>
      <c r="G6244" s="12" t="inlineStr">
        <is>
          <t>JB-Water treatment bu-DI02</t>
        </is>
      </c>
      <c r="H6244" s="12" t="inlineStr">
        <is>
          <t>Water treatment building: rooftop HVAC, exhaust fans, vents</t>
        </is>
      </c>
      <c r="I6244" s="12" t="inlineStr">
        <is>
          <t>Instrumentation</t>
        </is>
      </c>
      <c r="J6244" s="12" t="inlineStr">
        <is>
          <t>Instrumentation PLTC / TC-ER 300 V, #18 twisted shielded pairs, overall shield</t>
        </is>
      </c>
      <c r="K6244" s="12" t="inlineStr">
        <is>
          <t>PLTC|24 pr|18</t>
        </is>
      </c>
      <c r="L6244" s="12" t="inlineStr">
        <is>
          <t>24 pr</t>
        </is>
      </c>
      <c r="M6244" s="12" t="inlineStr">
        <is>
          <t>18</t>
        </is>
      </c>
      <c r="N6244" s="12" t="n">
        <v>1</v>
      </c>
      <c r="O6244" s="12" t="n">
        <v>1</v>
      </c>
      <c r="P6244" s="12" t="n"/>
      <c r="Q6244" s="12" t="n"/>
      <c r="R6244" s="12" t="n"/>
      <c r="S6244" s="12" t="inlineStr">
        <is>
          <t>Duct bank</t>
        </is>
      </c>
      <c r="T6244" s="15" t="n">
        <v>985</v>
      </c>
      <c r="U6244" s="15" t="n">
        <v>32</v>
      </c>
      <c r="V6244" s="15">
        <f>ROUNDUP((T6244+U6244+2*'Read Me'!$B$13)*(1+'Read Me'!$B$12),-1)</f>
        <v/>
      </c>
      <c r="W6244" s="15">
        <f>V6244*N6244*O6244</f>
        <v/>
      </c>
      <c r="X6244" s="12">
        <f>IF(LEFT(I6244,2)="MV",2*N6244*IF(L6244="1/C",O6244,1),0)</f>
        <v/>
      </c>
      <c r="Y6244" s="12">
        <f>IF(OR(LEFT(K6244,4)="LVAX",LEFT(K6244,6)="MV15AX",LEFT(K6244,4)="CTAX",LEFT(K6244,2)="W|"),2*N6244*O6244,0)</f>
        <v/>
      </c>
      <c r="Z6244" s="12" t="inlineStr"/>
      <c r="AA6244" s="12">
        <f>N6244*O6244</f>
        <v/>
      </c>
    </row>
    <row r="6245">
      <c r="A6245" s="12" t="inlineStr">
        <is>
          <t>C-I-0135</t>
        </is>
      </c>
      <c r="B6245" s="12" t="inlineStr">
        <is>
          <t>C</t>
        </is>
      </c>
      <c r="C6245" s="12" t="inlineStr">
        <is>
          <t>Grid interface</t>
        </is>
      </c>
      <c r="D6245" s="12" t="inlineStr">
        <is>
          <t>Discrete device to JB JB-Water treatment bu-DI03: 20 x 1 pr (field cables)</t>
        </is>
      </c>
      <c r="E6245" s="12" t="inlineStr"/>
      <c r="F6245" s="12" t="inlineStr">
        <is>
          <t>Water treatment building: rooftop HVAC, exhaust fans, vents</t>
        </is>
      </c>
      <c r="G6245" s="12" t="inlineStr">
        <is>
          <t>JB-Water treatment bu-DI03</t>
        </is>
      </c>
      <c r="H6245" s="12" t="inlineStr">
        <is>
          <t>Water treatment building: rooftop HVAC, exhaust fans, vents</t>
        </is>
      </c>
      <c r="I6245" s="12" t="inlineStr">
        <is>
          <t>Instrumentation</t>
        </is>
      </c>
      <c r="J6245" s="12" t="inlineStr">
        <is>
          <t>Instrumentation PLTC / TC-ER 300 V, #18 twisted shielded pairs, overall shield</t>
        </is>
      </c>
      <c r="K6245" s="12" t="inlineStr">
        <is>
          <t>PLTC|1 pr|16</t>
        </is>
      </c>
      <c r="L6245" s="12" t="inlineStr">
        <is>
          <t>1 pr</t>
        </is>
      </c>
      <c r="M6245" s="12" t="inlineStr">
        <is>
          <t>16</t>
        </is>
      </c>
      <c r="N6245" s="12" t="n">
        <v>20</v>
      </c>
      <c r="O6245" s="12" t="n">
        <v>1</v>
      </c>
      <c r="P6245" s="12" t="n"/>
      <c r="Q6245" s="12" t="n"/>
      <c r="R6245" s="12" t="n"/>
      <c r="S6245" s="12" t="inlineStr">
        <is>
          <t>Tray / conduit</t>
        </is>
      </c>
      <c r="T6245" s="15" t="n">
        <v>162</v>
      </c>
      <c r="U6245" s="15" t="n">
        <v>10</v>
      </c>
      <c r="V6245" s="15">
        <f>ROUNDUP((T6245+U6245+2*'Read Me'!$B$13)*(1+'Read Me'!$B$12),-1)</f>
        <v/>
      </c>
      <c r="W6245" s="15">
        <f>V6245*N6245*O6245</f>
        <v/>
      </c>
      <c r="X6245" s="12">
        <f>IF(LEFT(I6245,2)="MV",2*N6245*IF(L6245="1/C",O6245,1),0)</f>
        <v/>
      </c>
      <c r="Y6245" s="12">
        <f>IF(OR(LEFT(K6245,4)="LVAX",LEFT(K6245,6)="MV15AX",LEFT(K6245,4)="CTAX",LEFT(K6245,2)="W|"),2*N6245*O6245,0)</f>
        <v/>
      </c>
      <c r="Z6245" s="12" t="inlineStr">
        <is>
          <t>device-to-JB field wiring, one cable per device</t>
        </is>
      </c>
      <c r="AA6245" s="12">
        <f>N6245*O6245</f>
        <v/>
      </c>
    </row>
    <row r="6246">
      <c r="A6246" s="12" t="inlineStr">
        <is>
          <t>C-I-0136</t>
        </is>
      </c>
      <c r="B6246" s="12" t="inlineStr">
        <is>
          <t>C</t>
        </is>
      </c>
      <c r="C6246" s="12" t="inlineStr">
        <is>
          <t>Grid interface</t>
        </is>
      </c>
      <c r="D6246" s="12" t="inlineStr">
        <is>
          <t>Home run JB-Water treatment bu-DI03 to the control / marshalling room</t>
        </is>
      </c>
      <c r="E6246" s="12" t="inlineStr">
        <is>
          <t>R1</t>
        </is>
      </c>
      <c r="F6246" s="12" t="inlineStr">
        <is>
          <t>R1: main electrical building (64 x 180 ft)</t>
        </is>
      </c>
      <c r="G6246" s="12" t="inlineStr">
        <is>
          <t>JB-Water treatment bu-DI03</t>
        </is>
      </c>
      <c r="H6246" s="12" t="inlineStr">
        <is>
          <t>Water treatment building: rooftop HVAC, exhaust fans, vents</t>
        </is>
      </c>
      <c r="I6246" s="12" t="inlineStr">
        <is>
          <t>Instrumentation</t>
        </is>
      </c>
      <c r="J6246" s="12" t="inlineStr">
        <is>
          <t>Instrumentation PLTC / TC-ER 300 V, #18 twisted shielded pairs, overall shield</t>
        </is>
      </c>
      <c r="K6246" s="12" t="inlineStr">
        <is>
          <t>PLTC|24 pr|18</t>
        </is>
      </c>
      <c r="L6246" s="12" t="inlineStr">
        <is>
          <t>24 pr</t>
        </is>
      </c>
      <c r="M6246" s="12" t="inlineStr">
        <is>
          <t>18</t>
        </is>
      </c>
      <c r="N6246" s="12" t="n">
        <v>1</v>
      </c>
      <c r="O6246" s="12" t="n">
        <v>1</v>
      </c>
      <c r="P6246" s="12" t="n"/>
      <c r="Q6246" s="12" t="n"/>
      <c r="R6246" s="12" t="n"/>
      <c r="S6246" s="12" t="inlineStr">
        <is>
          <t>Duct bank</t>
        </is>
      </c>
      <c r="T6246" s="15" t="n">
        <v>985</v>
      </c>
      <c r="U6246" s="15" t="n">
        <v>32</v>
      </c>
      <c r="V6246" s="15">
        <f>ROUNDUP((T6246+U6246+2*'Read Me'!$B$13)*(1+'Read Me'!$B$12),-1)</f>
        <v/>
      </c>
      <c r="W6246" s="15">
        <f>V6246*N6246*O6246</f>
        <v/>
      </c>
      <c r="X6246" s="12">
        <f>IF(LEFT(I6246,2)="MV",2*N6246*IF(L6246="1/C",O6246,1),0)</f>
        <v/>
      </c>
      <c r="Y6246" s="12">
        <f>IF(OR(LEFT(K6246,4)="LVAX",LEFT(K6246,6)="MV15AX",LEFT(K6246,4)="CTAX",LEFT(K6246,2)="W|"),2*N6246*O6246,0)</f>
        <v/>
      </c>
      <c r="Z6246" s="12" t="inlineStr"/>
      <c r="AA6246" s="12">
        <f>N6246*O6246</f>
        <v/>
      </c>
    </row>
    <row r="6247">
      <c r="A6247" s="12" t="inlineStr">
        <is>
          <t>C-I-0137</t>
        </is>
      </c>
      <c r="B6247" s="12" t="inlineStr">
        <is>
          <t>C</t>
        </is>
      </c>
      <c r="C6247" s="12" t="inlineStr">
        <is>
          <t>Grid interface</t>
        </is>
      </c>
      <c r="D6247" s="12" t="inlineStr">
        <is>
          <t>Discrete device to JB JB-Water treatment bu-DI04: 20 x 1 pr (field cables)</t>
        </is>
      </c>
      <c r="E6247" s="12" t="inlineStr"/>
      <c r="F6247" s="12" t="inlineStr">
        <is>
          <t>Water treatment building: rooftop HVAC, exhaust fans, vents</t>
        </is>
      </c>
      <c r="G6247" s="12" t="inlineStr">
        <is>
          <t>JB-Water treatment bu-DI04</t>
        </is>
      </c>
      <c r="H6247" s="12" t="inlineStr">
        <is>
          <t>Water treatment building: rooftop HVAC, exhaust fans, vents</t>
        </is>
      </c>
      <c r="I6247" s="12" t="inlineStr">
        <is>
          <t>Instrumentation</t>
        </is>
      </c>
      <c r="J6247" s="12" t="inlineStr">
        <is>
          <t>Instrumentation PLTC / TC-ER 300 V, #18 twisted shielded pairs, overall shield</t>
        </is>
      </c>
      <c r="K6247" s="12" t="inlineStr">
        <is>
          <t>PLTC|1 pr|16</t>
        </is>
      </c>
      <c r="L6247" s="12" t="inlineStr">
        <is>
          <t>1 pr</t>
        </is>
      </c>
      <c r="M6247" s="12" t="inlineStr">
        <is>
          <t>16</t>
        </is>
      </c>
      <c r="N6247" s="12" t="n">
        <v>20</v>
      </c>
      <c r="O6247" s="12" t="n">
        <v>1</v>
      </c>
      <c r="P6247" s="12" t="n"/>
      <c r="Q6247" s="12" t="n"/>
      <c r="R6247" s="12" t="n"/>
      <c r="S6247" s="12" t="inlineStr">
        <is>
          <t>Tray / conduit</t>
        </is>
      </c>
      <c r="T6247" s="15" t="n">
        <v>162</v>
      </c>
      <c r="U6247" s="15" t="n">
        <v>10</v>
      </c>
      <c r="V6247" s="15">
        <f>ROUNDUP((T6247+U6247+2*'Read Me'!$B$13)*(1+'Read Me'!$B$12),-1)</f>
        <v/>
      </c>
      <c r="W6247" s="15">
        <f>V6247*N6247*O6247</f>
        <v/>
      </c>
      <c r="X6247" s="12">
        <f>IF(LEFT(I6247,2)="MV",2*N6247*IF(L6247="1/C",O6247,1),0)</f>
        <v/>
      </c>
      <c r="Y6247" s="12">
        <f>IF(OR(LEFT(K6247,4)="LVAX",LEFT(K6247,6)="MV15AX",LEFT(K6247,4)="CTAX",LEFT(K6247,2)="W|"),2*N6247*O6247,0)</f>
        <v/>
      </c>
      <c r="Z6247" s="12" t="inlineStr">
        <is>
          <t>device-to-JB field wiring, one cable per device</t>
        </is>
      </c>
      <c r="AA6247" s="12">
        <f>N6247*O6247</f>
        <v/>
      </c>
    </row>
    <row r="6248">
      <c r="A6248" s="12" t="inlineStr">
        <is>
          <t>C-I-0138</t>
        </is>
      </c>
      <c r="B6248" s="12" t="inlineStr">
        <is>
          <t>C</t>
        </is>
      </c>
      <c r="C6248" s="12" t="inlineStr">
        <is>
          <t>Grid interface</t>
        </is>
      </c>
      <c r="D6248" s="12" t="inlineStr">
        <is>
          <t>Home run JB-Water treatment bu-DI04 to the control / marshalling room</t>
        </is>
      </c>
      <c r="E6248" s="12" t="inlineStr">
        <is>
          <t>R1</t>
        </is>
      </c>
      <c r="F6248" s="12" t="inlineStr">
        <is>
          <t>R1: main electrical building (64 x 180 ft)</t>
        </is>
      </c>
      <c r="G6248" s="12" t="inlineStr">
        <is>
          <t>JB-Water treatment bu-DI04</t>
        </is>
      </c>
      <c r="H6248" s="12" t="inlineStr">
        <is>
          <t>Water treatment building: rooftop HVAC, exhaust fans, vents</t>
        </is>
      </c>
      <c r="I6248" s="12" t="inlineStr">
        <is>
          <t>Instrumentation</t>
        </is>
      </c>
      <c r="J6248" s="12" t="inlineStr">
        <is>
          <t>Instrumentation PLTC / TC-ER 300 V, #18 twisted shielded pairs, overall shield</t>
        </is>
      </c>
      <c r="K6248" s="12" t="inlineStr">
        <is>
          <t>PLTC|24 pr|18</t>
        </is>
      </c>
      <c r="L6248" s="12" t="inlineStr">
        <is>
          <t>24 pr</t>
        </is>
      </c>
      <c r="M6248" s="12" t="inlineStr">
        <is>
          <t>18</t>
        </is>
      </c>
      <c r="N6248" s="12" t="n">
        <v>1</v>
      </c>
      <c r="O6248" s="12" t="n">
        <v>1</v>
      </c>
      <c r="P6248" s="12" t="n"/>
      <c r="Q6248" s="12" t="n"/>
      <c r="R6248" s="12" t="n"/>
      <c r="S6248" s="12" t="inlineStr">
        <is>
          <t>Duct bank</t>
        </is>
      </c>
      <c r="T6248" s="15" t="n">
        <v>985</v>
      </c>
      <c r="U6248" s="15" t="n">
        <v>32</v>
      </c>
      <c r="V6248" s="15">
        <f>ROUNDUP((T6248+U6248+2*'Read Me'!$B$13)*(1+'Read Me'!$B$12),-1)</f>
        <v/>
      </c>
      <c r="W6248" s="15">
        <f>V6248*N6248*O6248</f>
        <v/>
      </c>
      <c r="X6248" s="12">
        <f>IF(LEFT(I6248,2)="MV",2*N6248*IF(L6248="1/C",O6248,1),0)</f>
        <v/>
      </c>
      <c r="Y6248" s="12">
        <f>IF(OR(LEFT(K6248,4)="LVAX",LEFT(K6248,6)="MV15AX",LEFT(K6248,4)="CTAX",LEFT(K6248,2)="W|"),2*N6248*O6248,0)</f>
        <v/>
      </c>
      <c r="Z6248" s="12" t="inlineStr"/>
      <c r="AA6248" s="12">
        <f>N6248*O6248</f>
        <v/>
      </c>
    </row>
    <row r="6249">
      <c r="A6249" s="12" t="inlineStr">
        <is>
          <t>C-P-0006</t>
        </is>
      </c>
      <c r="B6249" s="12" t="inlineStr">
        <is>
          <t>C</t>
        </is>
      </c>
      <c r="C6249" s="12" t="inlineStr">
        <is>
          <t>Grid interface</t>
        </is>
      </c>
      <c r="D6249" s="12" t="inlineStr">
        <is>
          <t>Motor 1 of 10, 30 kW</t>
        </is>
      </c>
      <c r="E6249" s="12" t="inlineStr">
        <is>
          <t>MCC-C1</t>
        </is>
      </c>
      <c r="F6249" s="12" t="inlineStr">
        <is>
          <t>R1 MCC-C1</t>
        </is>
      </c>
      <c r="G6249" s="12" t="inlineStr"/>
      <c r="H6249" s="12" t="inlineStr">
        <is>
          <t xml:space="preserve">CO2 compression 3 x ~19 MW + dehydration: rooftop HVAC, exhaust fans, </t>
        </is>
      </c>
      <c r="I6249" s="12" t="inlineStr">
        <is>
          <t>LV 600 V</t>
        </is>
      </c>
      <c r="J6249" s="12" t="inlineStr">
        <is>
          <t>Type TC-ER 600 V 3/C Cu XHHW-2 + ground, PVC jacket</t>
        </is>
      </c>
      <c r="K6249" s="12" t="inlineStr">
        <is>
          <t>LV|3/C+G|3/0</t>
        </is>
      </c>
      <c r="L6249" s="12" t="inlineStr">
        <is>
          <t>3/C+G</t>
        </is>
      </c>
      <c r="M6249" s="12" t="inlineStr">
        <is>
          <t>3/0</t>
        </is>
      </c>
      <c r="N6249" s="12" t="n">
        <v>1</v>
      </c>
      <c r="O6249" s="12" t="n">
        <v>1</v>
      </c>
      <c r="P6249" s="12" t="n">
        <v>480</v>
      </c>
      <c r="Q6249" s="12" t="n">
        <v>30</v>
      </c>
      <c r="R6249" s="12" t="n">
        <v>42.5</v>
      </c>
      <c r="S6249" s="12" t="inlineStr">
        <is>
          <t>Tray</t>
        </is>
      </c>
      <c r="T6249" s="15" t="n">
        <v>1744</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2.5 %</t>
        </is>
      </c>
      <c r="AA6249" s="12">
        <f>N6249*O6249</f>
        <v/>
      </c>
    </row>
    <row r="6250">
      <c r="A6250" s="12" t="inlineStr">
        <is>
          <t>C-P-0007</t>
        </is>
      </c>
      <c r="B6250" s="12" t="inlineStr">
        <is>
          <t>C</t>
        </is>
      </c>
      <c r="C6250" s="12" t="inlineStr">
        <is>
          <t>Grid interface</t>
        </is>
      </c>
      <c r="D6250" s="12" t="inlineStr">
        <is>
          <t>Motor 2 of 10, 30 kW</t>
        </is>
      </c>
      <c r="E6250" s="12" t="inlineStr">
        <is>
          <t>MCC-C1</t>
        </is>
      </c>
      <c r="F6250" s="12" t="inlineStr">
        <is>
          <t>R1 MCC-C1</t>
        </is>
      </c>
      <c r="G6250" s="12" t="inlineStr"/>
      <c r="H6250" s="12" t="inlineStr">
        <is>
          <t xml:space="preserve">CO2 compression 3 x ~19 MW + dehydration: rooftop HVAC, exhaust fans, </t>
        </is>
      </c>
      <c r="I6250" s="12" t="inlineStr">
        <is>
          <t>LV 600 V</t>
        </is>
      </c>
      <c r="J6250" s="12" t="inlineStr">
        <is>
          <t>Type TC-ER 600 V 3/C Cu XHHW-2 + ground, PVC jacket</t>
        </is>
      </c>
      <c r="K6250" s="12" t="inlineStr">
        <is>
          <t>LV|3/C+G|3/0</t>
        </is>
      </c>
      <c r="L6250" s="12" t="inlineStr">
        <is>
          <t>3/C+G</t>
        </is>
      </c>
      <c r="M6250" s="12" t="inlineStr">
        <is>
          <t>3/0</t>
        </is>
      </c>
      <c r="N6250" s="12" t="n">
        <v>1</v>
      </c>
      <c r="O6250" s="12" t="n">
        <v>1</v>
      </c>
      <c r="P6250" s="12" t="n">
        <v>480</v>
      </c>
      <c r="Q6250" s="12" t="n">
        <v>30</v>
      </c>
      <c r="R6250" s="12" t="n">
        <v>42.5</v>
      </c>
      <c r="S6250" s="12" t="inlineStr">
        <is>
          <t>Tray</t>
        </is>
      </c>
      <c r="T6250" s="15" t="n">
        <v>1744</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2.5 %</t>
        </is>
      </c>
      <c r="AA6250" s="12">
        <f>N6250*O6250</f>
        <v/>
      </c>
    </row>
    <row r="6251">
      <c r="A6251" s="12" t="inlineStr">
        <is>
          <t>C-P-0008</t>
        </is>
      </c>
      <c r="B6251" s="12" t="inlineStr">
        <is>
          <t>C</t>
        </is>
      </c>
      <c r="C6251" s="12" t="inlineStr">
        <is>
          <t>Grid interface</t>
        </is>
      </c>
      <c r="D6251" s="12" t="inlineStr">
        <is>
          <t>Motor 3 of 10, 30 kW</t>
        </is>
      </c>
      <c r="E6251" s="12" t="inlineStr">
        <is>
          <t>MCC-C1</t>
        </is>
      </c>
      <c r="F6251" s="12" t="inlineStr">
        <is>
          <t>R1 MCC-C1</t>
        </is>
      </c>
      <c r="G6251" s="12" t="inlineStr"/>
      <c r="H6251" s="12" t="inlineStr">
        <is>
          <t xml:space="preserve">CO2 compression 3 x ~19 MW + dehydration: rooftop HVAC, exhaust fans, </t>
        </is>
      </c>
      <c r="I6251" s="12" t="inlineStr">
        <is>
          <t>LV 600 V</t>
        </is>
      </c>
      <c r="J6251" s="12" t="inlineStr">
        <is>
          <t>Type TC-ER 600 V 3/C Cu XHHW-2 + ground, PVC jacket</t>
        </is>
      </c>
      <c r="K6251" s="12" t="inlineStr">
        <is>
          <t>LV|3/C+G|3/0</t>
        </is>
      </c>
      <c r="L6251" s="12" t="inlineStr">
        <is>
          <t>3/C+G</t>
        </is>
      </c>
      <c r="M6251" s="12" t="inlineStr">
        <is>
          <t>3/0</t>
        </is>
      </c>
      <c r="N6251" s="12" t="n">
        <v>1</v>
      </c>
      <c r="O6251" s="12" t="n">
        <v>1</v>
      </c>
      <c r="P6251" s="12" t="n">
        <v>480</v>
      </c>
      <c r="Q6251" s="12" t="n">
        <v>30</v>
      </c>
      <c r="R6251" s="12" t="n">
        <v>42.5</v>
      </c>
      <c r="S6251" s="12" t="inlineStr">
        <is>
          <t>Tray</t>
        </is>
      </c>
      <c r="T6251" s="15" t="n">
        <v>1744</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2.5 %</t>
        </is>
      </c>
      <c r="AA6251" s="12">
        <f>N6251*O6251</f>
        <v/>
      </c>
    </row>
    <row r="6252">
      <c r="A6252" s="12" t="inlineStr">
        <is>
          <t>C-P-0009</t>
        </is>
      </c>
      <c r="B6252" s="12" t="inlineStr">
        <is>
          <t>C</t>
        </is>
      </c>
      <c r="C6252" s="12" t="inlineStr">
        <is>
          <t>Grid interface</t>
        </is>
      </c>
      <c r="D6252" s="12" t="inlineStr">
        <is>
          <t>Motor 4 of 10, 30 kW</t>
        </is>
      </c>
      <c r="E6252" s="12" t="inlineStr">
        <is>
          <t>MCC-C1</t>
        </is>
      </c>
      <c r="F6252" s="12" t="inlineStr">
        <is>
          <t>R1 MCC-C1</t>
        </is>
      </c>
      <c r="G6252" s="12" t="inlineStr"/>
      <c r="H6252" s="12" t="inlineStr">
        <is>
          <t xml:space="preserve">CO2 compression 3 x ~19 MW + dehydration: rooftop HVAC, exhaust fans, </t>
        </is>
      </c>
      <c r="I6252" s="12" t="inlineStr">
        <is>
          <t>LV 600 V</t>
        </is>
      </c>
      <c r="J6252" s="12" t="inlineStr">
        <is>
          <t>Type TC-ER 600 V 3/C Cu XHHW-2 + ground, PVC jacket</t>
        </is>
      </c>
      <c r="K6252" s="12" t="inlineStr">
        <is>
          <t>LV|3/C+G|3/0</t>
        </is>
      </c>
      <c r="L6252" s="12" t="inlineStr">
        <is>
          <t>3/C+G</t>
        </is>
      </c>
      <c r="M6252" s="12" t="inlineStr">
        <is>
          <t>3/0</t>
        </is>
      </c>
      <c r="N6252" s="12" t="n">
        <v>1</v>
      </c>
      <c r="O6252" s="12" t="n">
        <v>1</v>
      </c>
      <c r="P6252" s="12" t="n">
        <v>480</v>
      </c>
      <c r="Q6252" s="12" t="n">
        <v>30</v>
      </c>
      <c r="R6252" s="12" t="n">
        <v>42.5</v>
      </c>
      <c r="S6252" s="12" t="inlineStr">
        <is>
          <t>Tray</t>
        </is>
      </c>
      <c r="T6252" s="15" t="n">
        <v>1744</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2.5 %</t>
        </is>
      </c>
      <c r="AA6252" s="12">
        <f>N6252*O6252</f>
        <v/>
      </c>
    </row>
    <row r="6253">
      <c r="A6253" s="12" t="inlineStr">
        <is>
          <t>C-P-0010</t>
        </is>
      </c>
      <c r="B6253" s="12" t="inlineStr">
        <is>
          <t>C</t>
        </is>
      </c>
      <c r="C6253" s="12" t="inlineStr">
        <is>
          <t>Grid interface</t>
        </is>
      </c>
      <c r="D6253" s="12" t="inlineStr">
        <is>
          <t>Motor 5 of 10, 30 kW</t>
        </is>
      </c>
      <c r="E6253" s="12" t="inlineStr">
        <is>
          <t>MCC-C1</t>
        </is>
      </c>
      <c r="F6253" s="12" t="inlineStr">
        <is>
          <t>R1 MCC-C1</t>
        </is>
      </c>
      <c r="G6253" s="12" t="inlineStr"/>
      <c r="H6253" s="12" t="inlineStr">
        <is>
          <t xml:space="preserve">CO2 compression 3 x ~19 MW + dehydration: rooftop HVAC, exhaust fans, </t>
        </is>
      </c>
      <c r="I6253" s="12" t="inlineStr">
        <is>
          <t>LV 600 V</t>
        </is>
      </c>
      <c r="J6253" s="12" t="inlineStr">
        <is>
          <t>Type TC-ER 600 V 3/C Cu XHHW-2 + ground, PVC jacket</t>
        </is>
      </c>
      <c r="K6253" s="12" t="inlineStr">
        <is>
          <t>LV|3/C+G|3/0</t>
        </is>
      </c>
      <c r="L6253" s="12" t="inlineStr">
        <is>
          <t>3/C+G</t>
        </is>
      </c>
      <c r="M6253" s="12" t="inlineStr">
        <is>
          <t>3/0</t>
        </is>
      </c>
      <c r="N6253" s="12" t="n">
        <v>1</v>
      </c>
      <c r="O6253" s="12" t="n">
        <v>1</v>
      </c>
      <c r="P6253" s="12" t="n">
        <v>480</v>
      </c>
      <c r="Q6253" s="12" t="n">
        <v>30</v>
      </c>
      <c r="R6253" s="12" t="n">
        <v>42.5</v>
      </c>
      <c r="S6253" s="12" t="inlineStr">
        <is>
          <t>Tray</t>
        </is>
      </c>
      <c r="T6253" s="15" t="n">
        <v>1744</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2.5 %</t>
        </is>
      </c>
      <c r="AA6253" s="12">
        <f>N6253*O6253</f>
        <v/>
      </c>
    </row>
    <row r="6254">
      <c r="A6254" s="12" t="inlineStr">
        <is>
          <t>C-P-0011</t>
        </is>
      </c>
      <c r="B6254" s="12" t="inlineStr">
        <is>
          <t>C</t>
        </is>
      </c>
      <c r="C6254" s="12" t="inlineStr">
        <is>
          <t>Grid interface</t>
        </is>
      </c>
      <c r="D6254" s="12" t="inlineStr">
        <is>
          <t>Motor 6 of 10, 30 kW</t>
        </is>
      </c>
      <c r="E6254" s="12" t="inlineStr">
        <is>
          <t>MCC-C1</t>
        </is>
      </c>
      <c r="F6254" s="12" t="inlineStr">
        <is>
          <t>R1 MCC-C1</t>
        </is>
      </c>
      <c r="G6254" s="12" t="inlineStr"/>
      <c r="H6254" s="12" t="inlineStr">
        <is>
          <t xml:space="preserve">CO2 compression 3 x ~19 MW + dehydration: rooftop HVAC, exhaust fans, </t>
        </is>
      </c>
      <c r="I6254" s="12" t="inlineStr">
        <is>
          <t>LV 600 V</t>
        </is>
      </c>
      <c r="J6254" s="12" t="inlineStr">
        <is>
          <t>Type TC-ER 600 V 3/C Cu XHHW-2 + ground, PVC jacket</t>
        </is>
      </c>
      <c r="K6254" s="12" t="inlineStr">
        <is>
          <t>LV|3/C+G|3/0</t>
        </is>
      </c>
      <c r="L6254" s="12" t="inlineStr">
        <is>
          <t>3/C+G</t>
        </is>
      </c>
      <c r="M6254" s="12" t="inlineStr">
        <is>
          <t>3/0</t>
        </is>
      </c>
      <c r="N6254" s="12" t="n">
        <v>1</v>
      </c>
      <c r="O6254" s="12" t="n">
        <v>1</v>
      </c>
      <c r="P6254" s="12" t="n">
        <v>480</v>
      </c>
      <c r="Q6254" s="12" t="n">
        <v>30</v>
      </c>
      <c r="R6254" s="12" t="n">
        <v>42.5</v>
      </c>
      <c r="S6254" s="12" t="inlineStr">
        <is>
          <t>Tray</t>
        </is>
      </c>
      <c r="T6254" s="15" t="n">
        <v>1744</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2.5 %</t>
        </is>
      </c>
      <c r="AA6254" s="12">
        <f>N6254*O6254</f>
        <v/>
      </c>
    </row>
    <row r="6255">
      <c r="A6255" s="12" t="inlineStr">
        <is>
          <t>C-P-0012</t>
        </is>
      </c>
      <c r="B6255" s="12" t="inlineStr">
        <is>
          <t>C</t>
        </is>
      </c>
      <c r="C6255" s="12" t="inlineStr">
        <is>
          <t>Grid interface</t>
        </is>
      </c>
      <c r="D6255" s="12" t="inlineStr">
        <is>
          <t>Motor 7 of 10, 30 kW</t>
        </is>
      </c>
      <c r="E6255" s="12" t="inlineStr">
        <is>
          <t>MCC-C1</t>
        </is>
      </c>
      <c r="F6255" s="12" t="inlineStr">
        <is>
          <t>R1 MCC-C1</t>
        </is>
      </c>
      <c r="G6255" s="12" t="inlineStr"/>
      <c r="H6255" s="12" t="inlineStr">
        <is>
          <t xml:space="preserve">CO2 compression 3 x ~19 MW + dehydration: rooftop HVAC, exhaust fans, </t>
        </is>
      </c>
      <c r="I6255" s="12" t="inlineStr">
        <is>
          <t>LV 600 V</t>
        </is>
      </c>
      <c r="J6255" s="12" t="inlineStr">
        <is>
          <t>Type TC-ER 600 V 3/C Cu XHHW-2 + ground, PVC jacket</t>
        </is>
      </c>
      <c r="K6255" s="12" t="inlineStr">
        <is>
          <t>LV|3/C+G|3/0</t>
        </is>
      </c>
      <c r="L6255" s="12" t="inlineStr">
        <is>
          <t>3/C+G</t>
        </is>
      </c>
      <c r="M6255" s="12" t="inlineStr">
        <is>
          <t>3/0</t>
        </is>
      </c>
      <c r="N6255" s="12" t="n">
        <v>1</v>
      </c>
      <c r="O6255" s="12" t="n">
        <v>1</v>
      </c>
      <c r="P6255" s="12" t="n">
        <v>480</v>
      </c>
      <c r="Q6255" s="12" t="n">
        <v>30</v>
      </c>
      <c r="R6255" s="12" t="n">
        <v>42.5</v>
      </c>
      <c r="S6255" s="12" t="inlineStr">
        <is>
          <t>Tray</t>
        </is>
      </c>
      <c r="T6255" s="15" t="n">
        <v>1744</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2.5 %</t>
        </is>
      </c>
      <c r="AA6255" s="12">
        <f>N6255*O6255</f>
        <v/>
      </c>
    </row>
    <row r="6256">
      <c r="A6256" s="12" t="inlineStr">
        <is>
          <t>C-P-0013</t>
        </is>
      </c>
      <c r="B6256" s="12" t="inlineStr">
        <is>
          <t>C</t>
        </is>
      </c>
      <c r="C6256" s="12" t="inlineStr">
        <is>
          <t>Grid interface</t>
        </is>
      </c>
      <c r="D6256" s="12" t="inlineStr">
        <is>
          <t>Motor 8 of 10, 30 kW</t>
        </is>
      </c>
      <c r="E6256" s="12" t="inlineStr">
        <is>
          <t>MCC-C1</t>
        </is>
      </c>
      <c r="F6256" s="12" t="inlineStr">
        <is>
          <t>R1 MCC-C1</t>
        </is>
      </c>
      <c r="G6256" s="12" t="inlineStr"/>
      <c r="H6256" s="12" t="inlineStr">
        <is>
          <t xml:space="preserve">CO2 compression 3 x ~19 MW + dehydration: rooftop HVAC, exhaust fans, </t>
        </is>
      </c>
      <c r="I6256" s="12" t="inlineStr">
        <is>
          <t>LV 600 V</t>
        </is>
      </c>
      <c r="J6256" s="12" t="inlineStr">
        <is>
          <t>Type TC-ER 600 V 3/C Cu XHHW-2 + ground, PVC jacket</t>
        </is>
      </c>
      <c r="K6256" s="12" t="inlineStr">
        <is>
          <t>LV|3/C+G|3/0</t>
        </is>
      </c>
      <c r="L6256" s="12" t="inlineStr">
        <is>
          <t>3/C+G</t>
        </is>
      </c>
      <c r="M6256" s="12" t="inlineStr">
        <is>
          <t>3/0</t>
        </is>
      </c>
      <c r="N6256" s="12" t="n">
        <v>1</v>
      </c>
      <c r="O6256" s="12" t="n">
        <v>1</v>
      </c>
      <c r="P6256" s="12" t="n">
        <v>480</v>
      </c>
      <c r="Q6256" s="12" t="n">
        <v>30</v>
      </c>
      <c r="R6256" s="12" t="n">
        <v>42.5</v>
      </c>
      <c r="S6256" s="12" t="inlineStr">
        <is>
          <t>Tray</t>
        </is>
      </c>
      <c r="T6256" s="15" t="n">
        <v>1744</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2.5 %</t>
        </is>
      </c>
      <c r="AA6256" s="12">
        <f>N6256*O6256</f>
        <v/>
      </c>
    </row>
    <row r="6257">
      <c r="A6257" s="12" t="inlineStr">
        <is>
          <t>C-P-0014</t>
        </is>
      </c>
      <c r="B6257" s="12" t="inlineStr">
        <is>
          <t>C</t>
        </is>
      </c>
      <c r="C6257" s="12" t="inlineStr">
        <is>
          <t>Grid interface</t>
        </is>
      </c>
      <c r="D6257" s="12" t="inlineStr">
        <is>
          <t>Motor 9 of 10, 30 kW</t>
        </is>
      </c>
      <c r="E6257" s="12" t="inlineStr">
        <is>
          <t>MCC-C1</t>
        </is>
      </c>
      <c r="F6257" s="12" t="inlineStr">
        <is>
          <t>R1 MCC-C1</t>
        </is>
      </c>
      <c r="G6257" s="12" t="inlineStr"/>
      <c r="H6257" s="12" t="inlineStr">
        <is>
          <t xml:space="preserve">CO2 compression 3 x ~19 MW + dehydration: rooftop HVAC, exhaust fans, </t>
        </is>
      </c>
      <c r="I6257" s="12" t="inlineStr">
        <is>
          <t>LV 600 V</t>
        </is>
      </c>
      <c r="J6257" s="12" t="inlineStr">
        <is>
          <t>Type TC-ER 600 V 3/C Cu XHHW-2 + ground, PVC jacket</t>
        </is>
      </c>
      <c r="K6257" s="12" t="inlineStr">
        <is>
          <t>LV|3/C+G|3/0</t>
        </is>
      </c>
      <c r="L6257" s="12" t="inlineStr">
        <is>
          <t>3/C+G</t>
        </is>
      </c>
      <c r="M6257" s="12" t="inlineStr">
        <is>
          <t>3/0</t>
        </is>
      </c>
      <c r="N6257" s="12" t="n">
        <v>1</v>
      </c>
      <c r="O6257" s="12" t="n">
        <v>1</v>
      </c>
      <c r="P6257" s="12" t="n">
        <v>480</v>
      </c>
      <c r="Q6257" s="12" t="n">
        <v>30</v>
      </c>
      <c r="R6257" s="12" t="n">
        <v>42.5</v>
      </c>
      <c r="S6257" s="12" t="inlineStr">
        <is>
          <t>Tray</t>
        </is>
      </c>
      <c r="T6257" s="15" t="n">
        <v>1744</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2.5 %</t>
        </is>
      </c>
      <c r="AA6257" s="12">
        <f>N6257*O6257</f>
        <v/>
      </c>
    </row>
    <row r="6258">
      <c r="A6258" s="12" t="inlineStr">
        <is>
          <t>C-P-0015</t>
        </is>
      </c>
      <c r="B6258" s="12" t="inlineStr">
        <is>
          <t>C</t>
        </is>
      </c>
      <c r="C6258" s="12" t="inlineStr">
        <is>
          <t>Grid interface</t>
        </is>
      </c>
      <c r="D6258" s="12" t="inlineStr">
        <is>
          <t>Motor 10 of 10, 30 kW</t>
        </is>
      </c>
      <c r="E6258" s="12" t="inlineStr">
        <is>
          <t>MCC-C1</t>
        </is>
      </c>
      <c r="F6258" s="12" t="inlineStr">
        <is>
          <t>R1 MCC-C1</t>
        </is>
      </c>
      <c r="G6258" s="12" t="inlineStr"/>
      <c r="H6258" s="12" t="inlineStr">
        <is>
          <t xml:space="preserve">CO2 compression 3 x ~19 MW + dehydration: rooftop HVAC, exhaust fans, </t>
        </is>
      </c>
      <c r="I6258" s="12" t="inlineStr">
        <is>
          <t>LV 600 V</t>
        </is>
      </c>
      <c r="J6258" s="12" t="inlineStr">
        <is>
          <t>Type TC-ER 600 V 3/C Cu XHHW-2 + ground, PVC jacket</t>
        </is>
      </c>
      <c r="K6258" s="12" t="inlineStr">
        <is>
          <t>LV|3/C+G|3/0</t>
        </is>
      </c>
      <c r="L6258" s="12" t="inlineStr">
        <is>
          <t>3/C+G</t>
        </is>
      </c>
      <c r="M6258" s="12" t="inlineStr">
        <is>
          <t>3/0</t>
        </is>
      </c>
      <c r="N6258" s="12" t="n">
        <v>1</v>
      </c>
      <c r="O6258" s="12" t="n">
        <v>1</v>
      </c>
      <c r="P6258" s="12" t="n">
        <v>480</v>
      </c>
      <c r="Q6258" s="12" t="n">
        <v>30</v>
      </c>
      <c r="R6258" s="12" t="n">
        <v>42.5</v>
      </c>
      <c r="S6258" s="12" t="inlineStr">
        <is>
          <t>Tray</t>
        </is>
      </c>
      <c r="T6258" s="15" t="n">
        <v>1744</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2.5 %</t>
        </is>
      </c>
      <c r="AA6258" s="12">
        <f>N6258*O6258</f>
        <v/>
      </c>
    </row>
    <row r="6259">
      <c r="A6259" s="12" t="inlineStr">
        <is>
          <t>C-P-0016</t>
        </is>
      </c>
      <c r="B6259" s="12" t="inlineStr">
        <is>
          <t>C</t>
        </is>
      </c>
      <c r="C6259" s="12" t="inlineStr">
        <is>
          <t>Grid interface</t>
        </is>
      </c>
      <c r="D6259" s="12" t="inlineStr">
        <is>
          <t>480 V welding receptacle 1</t>
        </is>
      </c>
      <c r="E6259" s="12" t="inlineStr">
        <is>
          <t>MCC-C1</t>
        </is>
      </c>
      <c r="F6259" s="12" t="inlineStr">
        <is>
          <t>R1 MCC-C1</t>
        </is>
      </c>
      <c r="G6259" s="12" t="inlineStr"/>
      <c r="H6259" s="12" t="inlineStr">
        <is>
          <t xml:space="preserve">CO2 compression 3 x ~19 MW + dehydration: rooftop HVAC, exhaust fans, </t>
        </is>
      </c>
      <c r="I6259" s="12" t="inlineStr">
        <is>
          <t>LV 600 V</t>
        </is>
      </c>
      <c r="J6259" s="12" t="inlineStr">
        <is>
          <t>Type TC-ER 600 V 3/C Cu XHHW-2 + ground, PVC jacket</t>
        </is>
      </c>
      <c r="K6259" s="12" t="inlineStr">
        <is>
          <t>LV|3/C+G|250</t>
        </is>
      </c>
      <c r="L6259" s="12" t="inlineStr">
        <is>
          <t>3/C+G</t>
        </is>
      </c>
      <c r="M6259" s="12" t="inlineStr">
        <is>
          <t>250 kcmil</t>
        </is>
      </c>
      <c r="N6259" s="12" t="n">
        <v>1</v>
      </c>
      <c r="O6259" s="12" t="n">
        <v>1</v>
      </c>
      <c r="P6259" s="12" t="n">
        <v>480</v>
      </c>
      <c r="Q6259" s="12" t="n">
        <v>60</v>
      </c>
      <c r="R6259" s="12" t="n">
        <v>76</v>
      </c>
      <c r="S6259" s="12" t="inlineStr">
        <is>
          <t>Tray</t>
        </is>
      </c>
      <c r="T6259" s="15" t="n">
        <v>1744</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3.0 %</t>
        </is>
      </c>
      <c r="AA6259" s="12">
        <f>N6259*O6259</f>
        <v/>
      </c>
    </row>
    <row r="6260">
      <c r="A6260" s="12" t="inlineStr">
        <is>
          <t>C-P-0017</t>
        </is>
      </c>
      <c r="B6260" s="12" t="inlineStr">
        <is>
          <t>C</t>
        </is>
      </c>
      <c r="C6260" s="12" t="inlineStr">
        <is>
          <t>Grid interface</t>
        </is>
      </c>
      <c r="D6260" s="12" t="inlineStr">
        <is>
          <t>480 V welding receptacle 2</t>
        </is>
      </c>
      <c r="E6260" s="12" t="inlineStr">
        <is>
          <t>MCC-C1</t>
        </is>
      </c>
      <c r="F6260" s="12" t="inlineStr">
        <is>
          <t>R1 MCC-C1</t>
        </is>
      </c>
      <c r="G6260" s="12" t="inlineStr"/>
      <c r="H6260" s="12" t="inlineStr">
        <is>
          <t xml:space="preserve">CO2 compression 3 x ~19 MW + dehydration: rooftop HVAC, exhaust fans, </t>
        </is>
      </c>
      <c r="I6260" s="12" t="inlineStr">
        <is>
          <t>LV 600 V</t>
        </is>
      </c>
      <c r="J6260" s="12" t="inlineStr">
        <is>
          <t>Type TC-ER 600 V 3/C Cu XHHW-2 + ground, PVC jacket</t>
        </is>
      </c>
      <c r="K6260" s="12" t="inlineStr">
        <is>
          <t>LV|3/C+G|250</t>
        </is>
      </c>
      <c r="L6260" s="12" t="inlineStr">
        <is>
          <t>3/C+G</t>
        </is>
      </c>
      <c r="M6260" s="12" t="inlineStr">
        <is>
          <t>250 kcmil</t>
        </is>
      </c>
      <c r="N6260" s="12" t="n">
        <v>1</v>
      </c>
      <c r="O6260" s="12" t="n">
        <v>1</v>
      </c>
      <c r="P6260" s="12" t="n">
        <v>480</v>
      </c>
      <c r="Q6260" s="12" t="n">
        <v>60</v>
      </c>
      <c r="R6260" s="12" t="n">
        <v>76</v>
      </c>
      <c r="S6260" s="12" t="inlineStr">
        <is>
          <t>Tray</t>
        </is>
      </c>
      <c r="T6260" s="15" t="n">
        <v>1744</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3.0 %</t>
        </is>
      </c>
      <c r="AA6260" s="12">
        <f>N6260*O6260</f>
        <v/>
      </c>
    </row>
    <row r="6261">
      <c r="A6261" s="12" t="inlineStr">
        <is>
          <t>C-P-0018</t>
        </is>
      </c>
      <c r="B6261" s="12" t="inlineStr">
        <is>
          <t>C</t>
        </is>
      </c>
      <c r="C6261" s="12" t="inlineStr">
        <is>
          <t>Grid interface</t>
        </is>
      </c>
      <c r="D6261" s="12" t="inlineStr">
        <is>
          <t>480 V welding receptacle 3</t>
        </is>
      </c>
      <c r="E6261" s="12" t="inlineStr">
        <is>
          <t>MCC-C1</t>
        </is>
      </c>
      <c r="F6261" s="12" t="inlineStr">
        <is>
          <t>R1 MCC-C1</t>
        </is>
      </c>
      <c r="G6261" s="12" t="inlineStr"/>
      <c r="H6261" s="12" t="inlineStr">
        <is>
          <t xml:space="preserve">CO2 compression 3 x ~19 MW + dehydration: rooftop HVAC, exhaust fans, </t>
        </is>
      </c>
      <c r="I6261" s="12" t="inlineStr">
        <is>
          <t>LV 600 V</t>
        </is>
      </c>
      <c r="J6261" s="12" t="inlineStr">
        <is>
          <t>Type TC-ER 600 V 3/C Cu XHHW-2 + ground, PVC jacket</t>
        </is>
      </c>
      <c r="K6261" s="12" t="inlineStr">
        <is>
          <t>LV|3/C+G|250</t>
        </is>
      </c>
      <c r="L6261" s="12" t="inlineStr">
        <is>
          <t>3/C+G</t>
        </is>
      </c>
      <c r="M6261" s="12" t="inlineStr">
        <is>
          <t>250 kcmil</t>
        </is>
      </c>
      <c r="N6261" s="12" t="n">
        <v>1</v>
      </c>
      <c r="O6261" s="12" t="n">
        <v>1</v>
      </c>
      <c r="P6261" s="12" t="n">
        <v>480</v>
      </c>
      <c r="Q6261" s="12" t="n">
        <v>60</v>
      </c>
      <c r="R6261" s="12" t="n">
        <v>76</v>
      </c>
      <c r="S6261" s="12" t="inlineStr">
        <is>
          <t>Tray</t>
        </is>
      </c>
      <c r="T6261" s="15" t="n">
        <v>1744</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3.0 %</t>
        </is>
      </c>
      <c r="AA6261" s="12">
        <f>N6261*O6261</f>
        <v/>
      </c>
    </row>
    <row r="6262">
      <c r="A6262" s="12" t="inlineStr">
        <is>
          <t>C-P-0019</t>
        </is>
      </c>
      <c r="B6262" s="12" t="inlineStr">
        <is>
          <t>C</t>
        </is>
      </c>
      <c r="C6262" s="12" t="inlineStr">
        <is>
          <t>Grid interface</t>
        </is>
      </c>
      <c r="D6262" s="12" t="inlineStr">
        <is>
          <t>480 V welding receptacle 4</t>
        </is>
      </c>
      <c r="E6262" s="12" t="inlineStr">
        <is>
          <t>MCC-C1</t>
        </is>
      </c>
      <c r="F6262" s="12" t="inlineStr">
        <is>
          <t>R1 MCC-C1</t>
        </is>
      </c>
      <c r="G6262" s="12" t="inlineStr"/>
      <c r="H6262" s="12" t="inlineStr">
        <is>
          <t xml:space="preserve">CO2 compression 3 x ~19 MW + dehydration: rooftop HVAC, exhaust fans, </t>
        </is>
      </c>
      <c r="I6262" s="12" t="inlineStr">
        <is>
          <t>LV 600 V</t>
        </is>
      </c>
      <c r="J6262" s="12" t="inlineStr">
        <is>
          <t>Type TC-ER 600 V 3/C Cu XHHW-2 + ground, PVC jacket</t>
        </is>
      </c>
      <c r="K6262" s="12" t="inlineStr">
        <is>
          <t>LV|3/C+G|250</t>
        </is>
      </c>
      <c r="L6262" s="12" t="inlineStr">
        <is>
          <t>3/C+G</t>
        </is>
      </c>
      <c r="M6262" s="12" t="inlineStr">
        <is>
          <t>250 kcmil</t>
        </is>
      </c>
      <c r="N6262" s="12" t="n">
        <v>1</v>
      </c>
      <c r="O6262" s="12" t="n">
        <v>1</v>
      </c>
      <c r="P6262" s="12" t="n">
        <v>480</v>
      </c>
      <c r="Q6262" s="12" t="n">
        <v>60</v>
      </c>
      <c r="R6262" s="12" t="n">
        <v>76</v>
      </c>
      <c r="S6262" s="12" t="inlineStr">
        <is>
          <t>Tray</t>
        </is>
      </c>
      <c r="T6262" s="15" t="n">
        <v>1744</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3.0 %</t>
        </is>
      </c>
      <c r="AA6262" s="12">
        <f>N6262*O6262</f>
        <v/>
      </c>
    </row>
    <row r="6263">
      <c r="A6263" s="12" t="inlineStr">
        <is>
          <t>C-P-0020</t>
        </is>
      </c>
      <c r="B6263" s="12" t="inlineStr">
        <is>
          <t>C</t>
        </is>
      </c>
      <c r="C6263" s="12" t="inlineStr">
        <is>
          <t>Grid interface</t>
        </is>
      </c>
      <c r="D6263" s="12" t="inlineStr">
        <is>
          <t>Motor 1 of 2, 250 kW</t>
        </is>
      </c>
      <c r="E6263" s="12" t="inlineStr">
        <is>
          <t>MCC-C1</t>
        </is>
      </c>
      <c r="F6263" s="12" t="inlineStr">
        <is>
          <t>R1 MCC-C1</t>
        </is>
      </c>
      <c r="G6263" s="12" t="inlineStr"/>
      <c r="H6263" s="12" t="inlineStr">
        <is>
          <t>Small-bore piping: instrument air, service water, nitrogen, HRSG drain</t>
        </is>
      </c>
      <c r="I6263" s="12" t="inlineStr">
        <is>
          <t>LV 600 V</t>
        </is>
      </c>
      <c r="J6263" s="12" t="inlineStr">
        <is>
          <t>Type TC-ER 600 V 3/C Cu XHHW-2 + ground, PVC jacket</t>
        </is>
      </c>
      <c r="K6263" s="12" t="inlineStr">
        <is>
          <t>LV|3/C+G|250</t>
        </is>
      </c>
      <c r="L6263" s="12" t="inlineStr">
        <is>
          <t>3/C+G</t>
        </is>
      </c>
      <c r="M6263" s="12" t="inlineStr">
        <is>
          <t>250 kcmil</t>
        </is>
      </c>
      <c r="N6263" s="12" t="n">
        <v>2</v>
      </c>
      <c r="O6263" s="12" t="n">
        <v>1</v>
      </c>
      <c r="P6263" s="12" t="n">
        <v>480</v>
      </c>
      <c r="Q6263" s="12" t="n">
        <v>250</v>
      </c>
      <c r="R6263" s="12" t="n">
        <v>353.8</v>
      </c>
      <c r="S6263" s="12" t="inlineStr">
        <is>
          <t>Tray</t>
        </is>
      </c>
      <c r="T6263" s="15" t="n">
        <v>614</v>
      </c>
      <c r="U6263" s="15" t="n">
        <v>145</v>
      </c>
      <c r="V6263" s="15">
        <f>ROUNDUP((T6263+U6263+2*'Read Me'!$B$13)*(1+'Read Me'!$B$12),-1)</f>
        <v/>
      </c>
      <c r="W6263" s="15">
        <f>V6263*N6263*O6263</f>
        <v/>
      </c>
      <c r="X6263" s="12">
        <f>IF(LEFT(I6263,2)="MV",2*N6263*IF(L6263="1/C",O6263,1),0)</f>
        <v/>
      </c>
      <c r="Y6263" s="12">
        <f>IF(OR(LEFT(K6263,4)="LVAX",LEFT(K6263,6)="MV15AX",LEFT(K6263,4)="CTAX",LEFT(K6263,2)="W|"),2*N6263*O6263,0)</f>
        <v/>
      </c>
      <c r="Z6263" s="12" t="inlineStr">
        <is>
          <t>VD 2.7 %</t>
        </is>
      </c>
      <c r="AA6263" s="12">
        <f>N6263*O6263</f>
        <v/>
      </c>
    </row>
    <row r="6264">
      <c r="A6264" s="12" t="inlineStr">
        <is>
          <t>C-P-0021</t>
        </is>
      </c>
      <c r="B6264" s="12" t="inlineStr">
        <is>
          <t>C</t>
        </is>
      </c>
      <c r="C6264" s="12" t="inlineStr">
        <is>
          <t>Grid interface</t>
        </is>
      </c>
      <c r="D6264" s="12" t="inlineStr">
        <is>
          <t>Motor 2 of 2, 250 kW</t>
        </is>
      </c>
      <c r="E6264" s="12" t="inlineStr">
        <is>
          <t>MCC-C1</t>
        </is>
      </c>
      <c r="F6264" s="12" t="inlineStr">
        <is>
          <t>R1 MCC-C1</t>
        </is>
      </c>
      <c r="G6264" s="12" t="inlineStr"/>
      <c r="H6264" s="12" t="inlineStr">
        <is>
          <t>Small-bore piping: instrument air, service water, nitrogen, HRSG drain</t>
        </is>
      </c>
      <c r="I6264" s="12" t="inlineStr">
        <is>
          <t>LV 600 V</t>
        </is>
      </c>
      <c r="J6264" s="12" t="inlineStr">
        <is>
          <t>Type TC-ER 600 V 3/C Cu XHHW-2 + ground, PVC jacket</t>
        </is>
      </c>
      <c r="K6264" s="12" t="inlineStr">
        <is>
          <t>LV|3/C+G|250</t>
        </is>
      </c>
      <c r="L6264" s="12" t="inlineStr">
        <is>
          <t>3/C+G</t>
        </is>
      </c>
      <c r="M6264" s="12" t="inlineStr">
        <is>
          <t>250 kcmil</t>
        </is>
      </c>
      <c r="N6264" s="12" t="n">
        <v>2</v>
      </c>
      <c r="O6264" s="12" t="n">
        <v>1</v>
      </c>
      <c r="P6264" s="12" t="n">
        <v>480</v>
      </c>
      <c r="Q6264" s="12" t="n">
        <v>250</v>
      </c>
      <c r="R6264" s="12" t="n">
        <v>353.8</v>
      </c>
      <c r="S6264" s="12" t="inlineStr">
        <is>
          <t>Tray</t>
        </is>
      </c>
      <c r="T6264" s="15" t="n">
        <v>614</v>
      </c>
      <c r="U6264" s="15" t="n">
        <v>145</v>
      </c>
      <c r="V6264" s="15">
        <f>ROUNDUP((T6264+U6264+2*'Read Me'!$B$13)*(1+'Read Me'!$B$12),-1)</f>
        <v/>
      </c>
      <c r="W6264" s="15">
        <f>V6264*N6264*O6264</f>
        <v/>
      </c>
      <c r="X6264" s="12">
        <f>IF(LEFT(I6264,2)="MV",2*N6264*IF(L6264="1/C",O6264,1),0)</f>
        <v/>
      </c>
      <c r="Y6264" s="12">
        <f>IF(OR(LEFT(K6264,4)="LVAX",LEFT(K6264,6)="MV15AX",LEFT(K6264,4)="CTAX",LEFT(K6264,2)="W|"),2*N6264*O6264,0)</f>
        <v/>
      </c>
      <c r="Z6264" s="12" t="inlineStr">
        <is>
          <t>VD 2.7 %</t>
        </is>
      </c>
      <c r="AA6264" s="12">
        <f>N6264*O6264</f>
        <v/>
      </c>
    </row>
    <row r="6265">
      <c r="A6265" s="12" t="inlineStr">
        <is>
          <t>C-P-0022</t>
        </is>
      </c>
      <c r="B6265" s="12" t="inlineStr">
        <is>
          <t>C</t>
        </is>
      </c>
      <c r="C6265" s="12" t="inlineStr">
        <is>
          <t>Grid interface</t>
        </is>
      </c>
      <c r="D6265" s="12" t="inlineStr">
        <is>
          <t>Motor 1 of 8, 15 kW</t>
        </is>
      </c>
      <c r="E6265" s="12" t="inlineStr">
        <is>
          <t>MCC-C1</t>
        </is>
      </c>
      <c r="F6265" s="12" t="inlineStr">
        <is>
          <t>R1 MCC-C1</t>
        </is>
      </c>
      <c r="G6265" s="12" t="inlineStr"/>
      <c r="H6265" s="12" t="inlineStr">
        <is>
          <t>Wastewater treatment: rooftop HVAC, exhaust fans, vents</t>
        </is>
      </c>
      <c r="I6265" s="12" t="inlineStr">
        <is>
          <t>LV 600 V</t>
        </is>
      </c>
      <c r="J6265" s="12" t="inlineStr">
        <is>
          <t>Type TC-ER 600 V 3/C Cu XHHW-2 + ground, PVC jacket</t>
        </is>
      </c>
      <c r="K6265" s="12" t="inlineStr">
        <is>
          <t>LV|3/C+G|1</t>
        </is>
      </c>
      <c r="L6265" s="12" t="inlineStr">
        <is>
          <t>3/C+G</t>
        </is>
      </c>
      <c r="M6265" s="12" t="inlineStr">
        <is>
          <t>1</t>
        </is>
      </c>
      <c r="N6265" s="12" t="n">
        <v>1</v>
      </c>
      <c r="O6265" s="12" t="n">
        <v>1</v>
      </c>
      <c r="P6265" s="12" t="n">
        <v>480</v>
      </c>
      <c r="Q6265" s="12" t="n">
        <v>15</v>
      </c>
      <c r="R6265" s="12" t="n">
        <v>21.2</v>
      </c>
      <c r="S6265" s="12" t="inlineStr">
        <is>
          <t>Duct bank</t>
        </is>
      </c>
      <c r="T6265" s="15" t="n">
        <v>1859</v>
      </c>
      <c r="U6265" s="15" t="n">
        <v>228</v>
      </c>
      <c r="V6265" s="15">
        <f>ROUNDUP((T6265+U6265+2*'Read Me'!$B$13)*(1+'Read Me'!$B$12),-1)</f>
        <v/>
      </c>
      <c r="W6265" s="15">
        <f>V6265*N6265*O6265</f>
        <v/>
      </c>
      <c r="X6265" s="12">
        <f>IF(LEFT(I6265,2)="MV",2*N6265*IF(L6265="1/C",O6265,1),0)</f>
        <v/>
      </c>
      <c r="Y6265" s="12">
        <f>IF(OR(LEFT(K6265,4)="LVAX",LEFT(K6265,6)="MV15AX",LEFT(K6265,4)="CTAX",LEFT(K6265,2)="W|"),2*N6265*O6265,0)</f>
        <v/>
      </c>
      <c r="Z6265" s="12" t="inlineStr">
        <is>
          <t>VD 2.7 %</t>
        </is>
      </c>
      <c r="AA6265" s="12">
        <f>N6265*O6265</f>
        <v/>
      </c>
    </row>
    <row r="6266">
      <c r="A6266" s="12" t="inlineStr">
        <is>
          <t>C-P-0023</t>
        </is>
      </c>
      <c r="B6266" s="12" t="inlineStr">
        <is>
          <t>C</t>
        </is>
      </c>
      <c r="C6266" s="12" t="inlineStr">
        <is>
          <t>Grid interface</t>
        </is>
      </c>
      <c r="D6266" s="12" t="inlineStr">
        <is>
          <t>Motor 2 of 8, 15 kW</t>
        </is>
      </c>
      <c r="E6266" s="12" t="inlineStr">
        <is>
          <t>MCC-C1</t>
        </is>
      </c>
      <c r="F6266" s="12" t="inlineStr">
        <is>
          <t>R1 MCC-C1</t>
        </is>
      </c>
      <c r="G6266" s="12" t="inlineStr"/>
      <c r="H6266" s="12" t="inlineStr">
        <is>
          <t>Wastewater treatment: rooftop HVAC, exhaust fans, vents</t>
        </is>
      </c>
      <c r="I6266" s="12" t="inlineStr">
        <is>
          <t>LV 600 V</t>
        </is>
      </c>
      <c r="J6266" s="12" t="inlineStr">
        <is>
          <t>Type TC-ER 600 V 3/C Cu XHHW-2 + ground, PVC jacket</t>
        </is>
      </c>
      <c r="K6266" s="12" t="inlineStr">
        <is>
          <t>LV|3/C+G|1</t>
        </is>
      </c>
      <c r="L6266" s="12" t="inlineStr">
        <is>
          <t>3/C+G</t>
        </is>
      </c>
      <c r="M6266" s="12" t="inlineStr">
        <is>
          <t>1</t>
        </is>
      </c>
      <c r="N6266" s="12" t="n">
        <v>1</v>
      </c>
      <c r="O6266" s="12" t="n">
        <v>1</v>
      </c>
      <c r="P6266" s="12" t="n">
        <v>480</v>
      </c>
      <c r="Q6266" s="12" t="n">
        <v>15</v>
      </c>
      <c r="R6266" s="12" t="n">
        <v>21.2</v>
      </c>
      <c r="S6266" s="12" t="inlineStr">
        <is>
          <t>Duct bank</t>
        </is>
      </c>
      <c r="T6266" s="15" t="n">
        <v>1859</v>
      </c>
      <c r="U6266" s="15" t="n">
        <v>228</v>
      </c>
      <c r="V6266" s="15">
        <f>ROUNDUP((T6266+U6266+2*'Read Me'!$B$13)*(1+'Read Me'!$B$12),-1)</f>
        <v/>
      </c>
      <c r="W6266" s="15">
        <f>V6266*N6266*O6266</f>
        <v/>
      </c>
      <c r="X6266" s="12">
        <f>IF(LEFT(I6266,2)="MV",2*N6266*IF(L6266="1/C",O6266,1),0)</f>
        <v/>
      </c>
      <c r="Y6266" s="12">
        <f>IF(OR(LEFT(K6266,4)="LVAX",LEFT(K6266,6)="MV15AX",LEFT(K6266,4)="CTAX",LEFT(K6266,2)="W|"),2*N6266*O6266,0)</f>
        <v/>
      </c>
      <c r="Z6266" s="12" t="inlineStr">
        <is>
          <t>VD 2.7 %</t>
        </is>
      </c>
      <c r="AA6266" s="12">
        <f>N6266*O6266</f>
        <v/>
      </c>
    </row>
    <row r="6267">
      <c r="A6267" s="12" t="inlineStr">
        <is>
          <t>C-P-0024</t>
        </is>
      </c>
      <c r="B6267" s="12" t="inlineStr">
        <is>
          <t>C</t>
        </is>
      </c>
      <c r="C6267" s="12" t="inlineStr">
        <is>
          <t>Grid interface</t>
        </is>
      </c>
      <c r="D6267" s="12" t="inlineStr">
        <is>
          <t>Motor 3 of 8, 15 kW</t>
        </is>
      </c>
      <c r="E6267" s="12" t="inlineStr">
        <is>
          <t>MCC-C1</t>
        </is>
      </c>
      <c r="F6267" s="12" t="inlineStr">
        <is>
          <t>R1 MCC-C1</t>
        </is>
      </c>
      <c r="G6267" s="12" t="inlineStr"/>
      <c r="H6267" s="12" t="inlineStr">
        <is>
          <t>Wastewater treatment: rooftop HVAC, exhaust fans, vents</t>
        </is>
      </c>
      <c r="I6267" s="12" t="inlineStr">
        <is>
          <t>LV 600 V</t>
        </is>
      </c>
      <c r="J6267" s="12" t="inlineStr">
        <is>
          <t>Type TC-ER 600 V 3/C Cu XHHW-2 + ground, PVC jacket</t>
        </is>
      </c>
      <c r="K6267" s="12" t="inlineStr">
        <is>
          <t>LV|3/C+G|1</t>
        </is>
      </c>
      <c r="L6267" s="12" t="inlineStr">
        <is>
          <t>3/C+G</t>
        </is>
      </c>
      <c r="M6267" s="12" t="inlineStr">
        <is>
          <t>1</t>
        </is>
      </c>
      <c r="N6267" s="12" t="n">
        <v>1</v>
      </c>
      <c r="O6267" s="12" t="n">
        <v>1</v>
      </c>
      <c r="P6267" s="12" t="n">
        <v>480</v>
      </c>
      <c r="Q6267" s="12" t="n">
        <v>15</v>
      </c>
      <c r="R6267" s="12" t="n">
        <v>21.2</v>
      </c>
      <c r="S6267" s="12" t="inlineStr">
        <is>
          <t>Duct bank</t>
        </is>
      </c>
      <c r="T6267" s="15" t="n">
        <v>1859</v>
      </c>
      <c r="U6267" s="15" t="n">
        <v>228</v>
      </c>
      <c r="V6267" s="15">
        <f>ROUNDUP((T6267+U6267+2*'Read Me'!$B$13)*(1+'Read Me'!$B$12),-1)</f>
        <v/>
      </c>
      <c r="W6267" s="15">
        <f>V6267*N6267*O6267</f>
        <v/>
      </c>
      <c r="X6267" s="12">
        <f>IF(LEFT(I6267,2)="MV",2*N6267*IF(L6267="1/C",O6267,1),0)</f>
        <v/>
      </c>
      <c r="Y6267" s="12">
        <f>IF(OR(LEFT(K6267,4)="LVAX",LEFT(K6267,6)="MV15AX",LEFT(K6267,4)="CTAX",LEFT(K6267,2)="W|"),2*N6267*O6267,0)</f>
        <v/>
      </c>
      <c r="Z6267" s="12" t="inlineStr">
        <is>
          <t>VD 2.7 %</t>
        </is>
      </c>
      <c r="AA6267" s="12">
        <f>N6267*O6267</f>
        <v/>
      </c>
    </row>
    <row r="6268">
      <c r="A6268" s="12" t="inlineStr">
        <is>
          <t>C-P-0025</t>
        </is>
      </c>
      <c r="B6268" s="12" t="inlineStr">
        <is>
          <t>C</t>
        </is>
      </c>
      <c r="C6268" s="12" t="inlineStr">
        <is>
          <t>Grid interface</t>
        </is>
      </c>
      <c r="D6268" s="12" t="inlineStr">
        <is>
          <t>Motor 4 of 8, 15 kW</t>
        </is>
      </c>
      <c r="E6268" s="12" t="inlineStr">
        <is>
          <t>MCC-C1</t>
        </is>
      </c>
      <c r="F6268" s="12" t="inlineStr">
        <is>
          <t>R1 MCC-C1</t>
        </is>
      </c>
      <c r="G6268" s="12" t="inlineStr"/>
      <c r="H6268" s="12" t="inlineStr">
        <is>
          <t>Wastewater treatment: rooftop HVAC, exhaust fans, vents</t>
        </is>
      </c>
      <c r="I6268" s="12" t="inlineStr">
        <is>
          <t>LV 600 V</t>
        </is>
      </c>
      <c r="J6268" s="12" t="inlineStr">
        <is>
          <t>Type TC-ER 600 V 3/C Cu XHHW-2 + ground, PVC jacket</t>
        </is>
      </c>
      <c r="K6268" s="12" t="inlineStr">
        <is>
          <t>LV|3/C+G|1</t>
        </is>
      </c>
      <c r="L6268" s="12" t="inlineStr">
        <is>
          <t>3/C+G</t>
        </is>
      </c>
      <c r="M6268" s="12" t="inlineStr">
        <is>
          <t>1</t>
        </is>
      </c>
      <c r="N6268" s="12" t="n">
        <v>1</v>
      </c>
      <c r="O6268" s="12" t="n">
        <v>1</v>
      </c>
      <c r="P6268" s="12" t="n">
        <v>480</v>
      </c>
      <c r="Q6268" s="12" t="n">
        <v>15</v>
      </c>
      <c r="R6268" s="12" t="n">
        <v>21.2</v>
      </c>
      <c r="S6268" s="12" t="inlineStr">
        <is>
          <t>Duct bank</t>
        </is>
      </c>
      <c r="T6268" s="15" t="n">
        <v>1859</v>
      </c>
      <c r="U6268" s="15" t="n">
        <v>228</v>
      </c>
      <c r="V6268" s="15">
        <f>ROUNDUP((T6268+U6268+2*'Read Me'!$B$13)*(1+'Read Me'!$B$12),-1)</f>
        <v/>
      </c>
      <c r="W6268" s="15">
        <f>V6268*N6268*O6268</f>
        <v/>
      </c>
      <c r="X6268" s="12">
        <f>IF(LEFT(I6268,2)="MV",2*N6268*IF(L6268="1/C",O6268,1),0)</f>
        <v/>
      </c>
      <c r="Y6268" s="12">
        <f>IF(OR(LEFT(K6268,4)="LVAX",LEFT(K6268,6)="MV15AX",LEFT(K6268,4)="CTAX",LEFT(K6268,2)="W|"),2*N6268*O6268,0)</f>
        <v/>
      </c>
      <c r="Z6268" s="12" t="inlineStr">
        <is>
          <t>VD 2.7 %</t>
        </is>
      </c>
      <c r="AA6268" s="12">
        <f>N6268*O6268</f>
        <v/>
      </c>
    </row>
    <row r="6269">
      <c r="A6269" s="12" t="inlineStr">
        <is>
          <t>C-P-0026</t>
        </is>
      </c>
      <c r="B6269" s="12" t="inlineStr">
        <is>
          <t>C</t>
        </is>
      </c>
      <c r="C6269" s="12" t="inlineStr">
        <is>
          <t>Grid interface</t>
        </is>
      </c>
      <c r="D6269" s="12" t="inlineStr">
        <is>
          <t>Motor 5 of 8, 15 kW</t>
        </is>
      </c>
      <c r="E6269" s="12" t="inlineStr">
        <is>
          <t>MCC-C1</t>
        </is>
      </c>
      <c r="F6269" s="12" t="inlineStr">
        <is>
          <t>R1 MCC-C1</t>
        </is>
      </c>
      <c r="G6269" s="12" t="inlineStr"/>
      <c r="H6269" s="12" t="inlineStr">
        <is>
          <t>Wastewater treatment: rooftop HVAC, exhaust fans, vents</t>
        </is>
      </c>
      <c r="I6269" s="12" t="inlineStr">
        <is>
          <t>LV 600 V</t>
        </is>
      </c>
      <c r="J6269" s="12" t="inlineStr">
        <is>
          <t>Type TC-ER 600 V 3/C Cu XHHW-2 + ground, PVC jacket</t>
        </is>
      </c>
      <c r="K6269" s="12" t="inlineStr">
        <is>
          <t>LV|3/C+G|1</t>
        </is>
      </c>
      <c r="L6269" s="12" t="inlineStr">
        <is>
          <t>3/C+G</t>
        </is>
      </c>
      <c r="M6269" s="12" t="inlineStr">
        <is>
          <t>1</t>
        </is>
      </c>
      <c r="N6269" s="12" t="n">
        <v>1</v>
      </c>
      <c r="O6269" s="12" t="n">
        <v>1</v>
      </c>
      <c r="P6269" s="12" t="n">
        <v>480</v>
      </c>
      <c r="Q6269" s="12" t="n">
        <v>15</v>
      </c>
      <c r="R6269" s="12" t="n">
        <v>21.2</v>
      </c>
      <c r="S6269" s="12" t="inlineStr">
        <is>
          <t>Duct bank</t>
        </is>
      </c>
      <c r="T6269" s="15" t="n">
        <v>1859</v>
      </c>
      <c r="U6269" s="15" t="n">
        <v>228</v>
      </c>
      <c r="V6269" s="15">
        <f>ROUNDUP((T6269+U6269+2*'Read Me'!$B$13)*(1+'Read Me'!$B$12),-1)</f>
        <v/>
      </c>
      <c r="W6269" s="15">
        <f>V6269*N6269*O6269</f>
        <v/>
      </c>
      <c r="X6269" s="12">
        <f>IF(LEFT(I6269,2)="MV",2*N6269*IF(L6269="1/C",O6269,1),0)</f>
        <v/>
      </c>
      <c r="Y6269" s="12">
        <f>IF(OR(LEFT(K6269,4)="LVAX",LEFT(K6269,6)="MV15AX",LEFT(K6269,4)="CTAX",LEFT(K6269,2)="W|"),2*N6269*O6269,0)</f>
        <v/>
      </c>
      <c r="Z6269" s="12" t="inlineStr">
        <is>
          <t>VD 2.7 %</t>
        </is>
      </c>
      <c r="AA6269" s="12">
        <f>N6269*O6269</f>
        <v/>
      </c>
    </row>
    <row r="6270">
      <c r="A6270" s="12" t="inlineStr">
        <is>
          <t>C-P-0027</t>
        </is>
      </c>
      <c r="B6270" s="12" t="inlineStr">
        <is>
          <t>C</t>
        </is>
      </c>
      <c r="C6270" s="12" t="inlineStr">
        <is>
          <t>Grid interface</t>
        </is>
      </c>
      <c r="D6270" s="12" t="inlineStr">
        <is>
          <t>Motor 6 of 8, 15 kW</t>
        </is>
      </c>
      <c r="E6270" s="12" t="inlineStr">
        <is>
          <t>MCC-C1</t>
        </is>
      </c>
      <c r="F6270" s="12" t="inlineStr">
        <is>
          <t>R1 MCC-C1</t>
        </is>
      </c>
      <c r="G6270" s="12" t="inlineStr"/>
      <c r="H6270" s="12" t="inlineStr">
        <is>
          <t>Wastewater treatment: rooftop HVAC, exhaust fans, vents</t>
        </is>
      </c>
      <c r="I6270" s="12" t="inlineStr">
        <is>
          <t>LV 600 V</t>
        </is>
      </c>
      <c r="J6270" s="12" t="inlineStr">
        <is>
          <t>Type TC-ER 600 V 3/C Cu XHHW-2 + ground, PVC jacket</t>
        </is>
      </c>
      <c r="K6270" s="12" t="inlineStr">
        <is>
          <t>LV|3/C+G|1</t>
        </is>
      </c>
      <c r="L6270" s="12" t="inlineStr">
        <is>
          <t>3/C+G</t>
        </is>
      </c>
      <c r="M6270" s="12" t="inlineStr">
        <is>
          <t>1</t>
        </is>
      </c>
      <c r="N6270" s="12" t="n">
        <v>1</v>
      </c>
      <c r="O6270" s="12" t="n">
        <v>1</v>
      </c>
      <c r="P6270" s="12" t="n">
        <v>480</v>
      </c>
      <c r="Q6270" s="12" t="n">
        <v>15</v>
      </c>
      <c r="R6270" s="12" t="n">
        <v>21.2</v>
      </c>
      <c r="S6270" s="12" t="inlineStr">
        <is>
          <t>Duct bank</t>
        </is>
      </c>
      <c r="T6270" s="15" t="n">
        <v>1859</v>
      </c>
      <c r="U6270" s="15" t="n">
        <v>228</v>
      </c>
      <c r="V6270" s="15">
        <f>ROUNDUP((T6270+U6270+2*'Read Me'!$B$13)*(1+'Read Me'!$B$12),-1)</f>
        <v/>
      </c>
      <c r="W6270" s="15">
        <f>V6270*N6270*O6270</f>
        <v/>
      </c>
      <c r="X6270" s="12">
        <f>IF(LEFT(I6270,2)="MV",2*N6270*IF(L6270="1/C",O6270,1),0)</f>
        <v/>
      </c>
      <c r="Y6270" s="12">
        <f>IF(OR(LEFT(K6270,4)="LVAX",LEFT(K6270,6)="MV15AX",LEFT(K6270,4)="CTAX",LEFT(K6270,2)="W|"),2*N6270*O6270,0)</f>
        <v/>
      </c>
      <c r="Z6270" s="12" t="inlineStr">
        <is>
          <t>VD 2.7 %</t>
        </is>
      </c>
      <c r="AA6270" s="12">
        <f>N6270*O6270</f>
        <v/>
      </c>
    </row>
    <row r="6271">
      <c r="A6271" s="12" t="inlineStr">
        <is>
          <t>C-P-0028</t>
        </is>
      </c>
      <c r="B6271" s="12" t="inlineStr">
        <is>
          <t>C</t>
        </is>
      </c>
      <c r="C6271" s="12" t="inlineStr">
        <is>
          <t>Grid interface</t>
        </is>
      </c>
      <c r="D6271" s="12" t="inlineStr">
        <is>
          <t>Motor 7 of 8, 15 kW</t>
        </is>
      </c>
      <c r="E6271" s="12" t="inlineStr">
        <is>
          <t>MCC-C1</t>
        </is>
      </c>
      <c r="F6271" s="12" t="inlineStr">
        <is>
          <t>R1 MCC-C1</t>
        </is>
      </c>
      <c r="G6271" s="12" t="inlineStr"/>
      <c r="H6271" s="12" t="inlineStr">
        <is>
          <t>Wastewater treatment: rooftop HVAC, exhaust fans, vents</t>
        </is>
      </c>
      <c r="I6271" s="12" t="inlineStr">
        <is>
          <t>LV 600 V</t>
        </is>
      </c>
      <c r="J6271" s="12" t="inlineStr">
        <is>
          <t>Type TC-ER 600 V 3/C Cu XHHW-2 + ground, PVC jacket</t>
        </is>
      </c>
      <c r="K6271" s="12" t="inlineStr">
        <is>
          <t>LV|3/C+G|1</t>
        </is>
      </c>
      <c r="L6271" s="12" t="inlineStr">
        <is>
          <t>3/C+G</t>
        </is>
      </c>
      <c r="M6271" s="12" t="inlineStr">
        <is>
          <t>1</t>
        </is>
      </c>
      <c r="N6271" s="12" t="n">
        <v>1</v>
      </c>
      <c r="O6271" s="12" t="n">
        <v>1</v>
      </c>
      <c r="P6271" s="12" t="n">
        <v>480</v>
      </c>
      <c r="Q6271" s="12" t="n">
        <v>15</v>
      </c>
      <c r="R6271" s="12" t="n">
        <v>21.2</v>
      </c>
      <c r="S6271" s="12" t="inlineStr">
        <is>
          <t>Duct bank</t>
        </is>
      </c>
      <c r="T6271" s="15" t="n">
        <v>1859</v>
      </c>
      <c r="U6271" s="15" t="n">
        <v>228</v>
      </c>
      <c r="V6271" s="15">
        <f>ROUNDUP((T6271+U6271+2*'Read Me'!$B$13)*(1+'Read Me'!$B$12),-1)</f>
        <v/>
      </c>
      <c r="W6271" s="15">
        <f>V6271*N6271*O6271</f>
        <v/>
      </c>
      <c r="X6271" s="12">
        <f>IF(LEFT(I6271,2)="MV",2*N6271*IF(L6271="1/C",O6271,1),0)</f>
        <v/>
      </c>
      <c r="Y6271" s="12">
        <f>IF(OR(LEFT(K6271,4)="LVAX",LEFT(K6271,6)="MV15AX",LEFT(K6271,4)="CTAX",LEFT(K6271,2)="W|"),2*N6271*O6271,0)</f>
        <v/>
      </c>
      <c r="Z6271" s="12" t="inlineStr">
        <is>
          <t>VD 2.7 %</t>
        </is>
      </c>
      <c r="AA6271" s="12">
        <f>N6271*O6271</f>
        <v/>
      </c>
    </row>
    <row r="6272">
      <c r="A6272" s="12" t="inlineStr">
        <is>
          <t>C-P-0029</t>
        </is>
      </c>
      <c r="B6272" s="12" t="inlineStr">
        <is>
          <t>C</t>
        </is>
      </c>
      <c r="C6272" s="12" t="inlineStr">
        <is>
          <t>Grid interface</t>
        </is>
      </c>
      <c r="D6272" s="12" t="inlineStr">
        <is>
          <t>Motor 8 of 8, 15 kW</t>
        </is>
      </c>
      <c r="E6272" s="12" t="inlineStr">
        <is>
          <t>MCC-C1</t>
        </is>
      </c>
      <c r="F6272" s="12" t="inlineStr">
        <is>
          <t>R1 MCC-C1</t>
        </is>
      </c>
      <c r="G6272" s="12" t="inlineStr"/>
      <c r="H6272" s="12" t="inlineStr">
        <is>
          <t>Wastewater treatment: rooftop HVAC, exhaust fans, vents</t>
        </is>
      </c>
      <c r="I6272" s="12" t="inlineStr">
        <is>
          <t>LV 600 V</t>
        </is>
      </c>
      <c r="J6272" s="12" t="inlineStr">
        <is>
          <t>Type TC-ER 600 V 3/C Cu XHHW-2 + ground, PVC jacket</t>
        </is>
      </c>
      <c r="K6272" s="12" t="inlineStr">
        <is>
          <t>LV|3/C+G|1</t>
        </is>
      </c>
      <c r="L6272" s="12" t="inlineStr">
        <is>
          <t>3/C+G</t>
        </is>
      </c>
      <c r="M6272" s="12" t="inlineStr">
        <is>
          <t>1</t>
        </is>
      </c>
      <c r="N6272" s="12" t="n">
        <v>1</v>
      </c>
      <c r="O6272" s="12" t="n">
        <v>1</v>
      </c>
      <c r="P6272" s="12" t="n">
        <v>480</v>
      </c>
      <c r="Q6272" s="12" t="n">
        <v>15</v>
      </c>
      <c r="R6272" s="12" t="n">
        <v>21.2</v>
      </c>
      <c r="S6272" s="12" t="inlineStr">
        <is>
          <t>Duct bank</t>
        </is>
      </c>
      <c r="T6272" s="15" t="n">
        <v>1859</v>
      </c>
      <c r="U6272" s="15" t="n">
        <v>228</v>
      </c>
      <c r="V6272" s="15">
        <f>ROUNDUP((T6272+U6272+2*'Read Me'!$B$13)*(1+'Read Me'!$B$12),-1)</f>
        <v/>
      </c>
      <c r="W6272" s="15">
        <f>V6272*N6272*O6272</f>
        <v/>
      </c>
      <c r="X6272" s="12">
        <f>IF(LEFT(I6272,2)="MV",2*N6272*IF(L6272="1/C",O6272,1),0)</f>
        <v/>
      </c>
      <c r="Y6272" s="12">
        <f>IF(OR(LEFT(K6272,4)="LVAX",LEFT(K6272,6)="MV15AX",LEFT(K6272,4)="CTAX",LEFT(K6272,2)="W|"),2*N6272*O6272,0)</f>
        <v/>
      </c>
      <c r="Z6272" s="12" t="inlineStr">
        <is>
          <t>VD 2.7 %</t>
        </is>
      </c>
      <c r="AA6272" s="12">
        <f>N6272*O6272</f>
        <v/>
      </c>
    </row>
    <row r="6273">
      <c r="A6273" s="12" t="inlineStr">
        <is>
          <t>C-P-0030</t>
        </is>
      </c>
      <c r="B6273" s="12" t="inlineStr">
        <is>
          <t>C</t>
        </is>
      </c>
      <c r="C6273" s="12" t="inlineStr">
        <is>
          <t>Grid interface</t>
        </is>
      </c>
      <c r="D6273" s="12" t="inlineStr">
        <is>
          <t>Motor 1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C-P-0031</t>
        </is>
      </c>
      <c r="B6274" s="12" t="inlineStr">
        <is>
          <t>C</t>
        </is>
      </c>
      <c r="C6274" s="12" t="inlineStr">
        <is>
          <t>Grid interface</t>
        </is>
      </c>
      <c r="D6274" s="12" t="inlineStr">
        <is>
          <t>Motor 2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C-P-0032</t>
        </is>
      </c>
      <c r="B6275" s="12" t="inlineStr">
        <is>
          <t>C</t>
        </is>
      </c>
      <c r="C6275" s="12" t="inlineStr">
        <is>
          <t>Grid interface</t>
        </is>
      </c>
      <c r="D6275" s="12" t="inlineStr">
        <is>
          <t>Motor 3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row r="6276">
      <c r="A6276" s="12" t="inlineStr">
        <is>
          <t>C-P-0033</t>
        </is>
      </c>
      <c r="B6276" s="12" t="inlineStr">
        <is>
          <t>C</t>
        </is>
      </c>
      <c r="C6276" s="12" t="inlineStr">
        <is>
          <t>Grid interface</t>
        </is>
      </c>
      <c r="D6276" s="12" t="inlineStr">
        <is>
          <t>Motor 4 of 20, 15 kW</t>
        </is>
      </c>
      <c r="E6276" s="12" t="inlineStr">
        <is>
          <t>MCC-C1</t>
        </is>
      </c>
      <c r="F6276" s="12" t="inlineStr">
        <is>
          <t>R1 MCC-C1</t>
        </is>
      </c>
      <c r="G6276" s="12" t="inlineStr"/>
      <c r="H6276" s="12" t="inlineStr">
        <is>
          <t>Water treatment building: rooftop HVAC, exhaust fans, vents</t>
        </is>
      </c>
      <c r="I6276" s="12" t="inlineStr">
        <is>
          <t>LV 600 V</t>
        </is>
      </c>
      <c r="J6276" s="12" t="inlineStr">
        <is>
          <t>Type TC-ER 600 V 3/C Cu XHHW-2 + ground, PVC jacket</t>
        </is>
      </c>
      <c r="K6276" s="12" t="inlineStr">
        <is>
          <t>LV|3/C+G|2</t>
        </is>
      </c>
      <c r="L6276" s="12" t="inlineStr">
        <is>
          <t>3/C+G</t>
        </is>
      </c>
      <c r="M6276" s="12" t="inlineStr">
        <is>
          <t>2</t>
        </is>
      </c>
      <c r="N6276" s="12" t="n">
        <v>1</v>
      </c>
      <c r="O6276" s="12" t="n">
        <v>1</v>
      </c>
      <c r="P6276" s="12" t="n">
        <v>480</v>
      </c>
      <c r="Q6276" s="12" t="n">
        <v>15</v>
      </c>
      <c r="R6276" s="12" t="n">
        <v>21.2</v>
      </c>
      <c r="S6276" s="12" t="inlineStr">
        <is>
          <t>Duct bank</t>
        </is>
      </c>
      <c r="T6276" s="15" t="n">
        <v>1629</v>
      </c>
      <c r="U6276" s="15" t="n">
        <v>161</v>
      </c>
      <c r="V6276" s="15">
        <f>ROUNDUP((T6276+U6276+2*'Read Me'!$B$13)*(1+'Read Me'!$B$12),-1)</f>
        <v/>
      </c>
      <c r="W6276" s="15">
        <f>V6276*N6276*O6276</f>
        <v/>
      </c>
      <c r="X6276" s="12">
        <f>IF(LEFT(I6276,2)="MV",2*N6276*IF(L6276="1/C",O6276,1),0)</f>
        <v/>
      </c>
      <c r="Y6276" s="12">
        <f>IF(OR(LEFT(K6276,4)="LVAX",LEFT(K6276,6)="MV15AX",LEFT(K6276,4)="CTAX",LEFT(K6276,2)="W|"),2*N6276*O6276,0)</f>
        <v/>
      </c>
      <c r="Z6276" s="12" t="inlineStr">
        <is>
          <t>VD 2.9 %</t>
        </is>
      </c>
      <c r="AA6276" s="12">
        <f>N6276*O6276</f>
        <v/>
      </c>
    </row>
    <row r="6277">
      <c r="A6277" s="12" t="inlineStr">
        <is>
          <t>C-P-0034</t>
        </is>
      </c>
      <c r="B6277" s="12" t="inlineStr">
        <is>
          <t>C</t>
        </is>
      </c>
      <c r="C6277" s="12" t="inlineStr">
        <is>
          <t>Grid interface</t>
        </is>
      </c>
      <c r="D6277" s="12" t="inlineStr">
        <is>
          <t>Motor 5 of 20, 15 kW</t>
        </is>
      </c>
      <c r="E6277" s="12" t="inlineStr">
        <is>
          <t>MCC-C1</t>
        </is>
      </c>
      <c r="F6277" s="12" t="inlineStr">
        <is>
          <t>R1 MCC-C1</t>
        </is>
      </c>
      <c r="G6277" s="12" t="inlineStr"/>
      <c r="H6277" s="12" t="inlineStr">
        <is>
          <t>Water treatment building: rooftop HVAC, exhaust fans, vents</t>
        </is>
      </c>
      <c r="I6277" s="12" t="inlineStr">
        <is>
          <t>LV 600 V</t>
        </is>
      </c>
      <c r="J6277" s="12" t="inlineStr">
        <is>
          <t>Type TC-ER 600 V 3/C Cu XHHW-2 + ground, PVC jacket</t>
        </is>
      </c>
      <c r="K6277" s="12" t="inlineStr">
        <is>
          <t>LV|3/C+G|2</t>
        </is>
      </c>
      <c r="L6277" s="12" t="inlineStr">
        <is>
          <t>3/C+G</t>
        </is>
      </c>
      <c r="M6277" s="12" t="inlineStr">
        <is>
          <t>2</t>
        </is>
      </c>
      <c r="N6277" s="12" t="n">
        <v>1</v>
      </c>
      <c r="O6277" s="12" t="n">
        <v>1</v>
      </c>
      <c r="P6277" s="12" t="n">
        <v>480</v>
      </c>
      <c r="Q6277" s="12" t="n">
        <v>15</v>
      </c>
      <c r="R6277" s="12" t="n">
        <v>21.2</v>
      </c>
      <c r="S6277" s="12" t="inlineStr">
        <is>
          <t>Duct bank</t>
        </is>
      </c>
      <c r="T6277" s="15" t="n">
        <v>1629</v>
      </c>
      <c r="U6277" s="15" t="n">
        <v>161</v>
      </c>
      <c r="V6277" s="15">
        <f>ROUNDUP((T6277+U6277+2*'Read Me'!$B$13)*(1+'Read Me'!$B$12),-1)</f>
        <v/>
      </c>
      <c r="W6277" s="15">
        <f>V6277*N6277*O6277</f>
        <v/>
      </c>
      <c r="X6277" s="12">
        <f>IF(LEFT(I6277,2)="MV",2*N6277*IF(L6277="1/C",O6277,1),0)</f>
        <v/>
      </c>
      <c r="Y6277" s="12">
        <f>IF(OR(LEFT(K6277,4)="LVAX",LEFT(K6277,6)="MV15AX",LEFT(K6277,4)="CTAX",LEFT(K6277,2)="W|"),2*N6277*O6277,0)</f>
        <v/>
      </c>
      <c r="Z6277" s="12" t="inlineStr">
        <is>
          <t>VD 2.9 %</t>
        </is>
      </c>
      <c r="AA6277" s="12">
        <f>N6277*O6277</f>
        <v/>
      </c>
    </row>
    <row r="6278">
      <c r="A6278" s="12" t="inlineStr">
        <is>
          <t>C-P-0035</t>
        </is>
      </c>
      <c r="B6278" s="12" t="inlineStr">
        <is>
          <t>C</t>
        </is>
      </c>
      <c r="C6278" s="12" t="inlineStr">
        <is>
          <t>Grid interface</t>
        </is>
      </c>
      <c r="D6278" s="12" t="inlineStr">
        <is>
          <t>Motor 6 of 20, 15 kW</t>
        </is>
      </c>
      <c r="E6278" s="12" t="inlineStr">
        <is>
          <t>MCC-C1</t>
        </is>
      </c>
      <c r="F6278" s="12" t="inlineStr">
        <is>
          <t>R1 MCC-C1</t>
        </is>
      </c>
      <c r="G6278" s="12" t="inlineStr"/>
      <c r="H6278" s="12" t="inlineStr">
        <is>
          <t>Water treatment building: rooftop HVAC, exhaust fans, vents</t>
        </is>
      </c>
      <c r="I6278" s="12" t="inlineStr">
        <is>
          <t>LV 600 V</t>
        </is>
      </c>
      <c r="J6278" s="12" t="inlineStr">
        <is>
          <t>Type TC-ER 600 V 3/C Cu XHHW-2 + ground, PVC jacket</t>
        </is>
      </c>
      <c r="K6278" s="12" t="inlineStr">
        <is>
          <t>LV|3/C+G|2</t>
        </is>
      </c>
      <c r="L6278" s="12" t="inlineStr">
        <is>
          <t>3/C+G</t>
        </is>
      </c>
      <c r="M6278" s="12" t="inlineStr">
        <is>
          <t>2</t>
        </is>
      </c>
      <c r="N6278" s="12" t="n">
        <v>1</v>
      </c>
      <c r="O6278" s="12" t="n">
        <v>1</v>
      </c>
      <c r="P6278" s="12" t="n">
        <v>480</v>
      </c>
      <c r="Q6278" s="12" t="n">
        <v>15</v>
      </c>
      <c r="R6278" s="12" t="n">
        <v>21.2</v>
      </c>
      <c r="S6278" s="12" t="inlineStr">
        <is>
          <t>Duct bank</t>
        </is>
      </c>
      <c r="T6278" s="15" t="n">
        <v>1629</v>
      </c>
      <c r="U6278" s="15" t="n">
        <v>161</v>
      </c>
      <c r="V6278" s="15">
        <f>ROUNDUP((T6278+U6278+2*'Read Me'!$B$13)*(1+'Read Me'!$B$12),-1)</f>
        <v/>
      </c>
      <c r="W6278" s="15">
        <f>V6278*N6278*O6278</f>
        <v/>
      </c>
      <c r="X6278" s="12">
        <f>IF(LEFT(I6278,2)="MV",2*N6278*IF(L6278="1/C",O6278,1),0)</f>
        <v/>
      </c>
      <c r="Y6278" s="12">
        <f>IF(OR(LEFT(K6278,4)="LVAX",LEFT(K6278,6)="MV15AX",LEFT(K6278,4)="CTAX",LEFT(K6278,2)="W|"),2*N6278*O6278,0)</f>
        <v/>
      </c>
      <c r="Z6278" s="12" t="inlineStr">
        <is>
          <t>VD 2.9 %</t>
        </is>
      </c>
      <c r="AA6278" s="12">
        <f>N6278*O6278</f>
        <v/>
      </c>
    </row>
    <row r="6279">
      <c r="A6279" s="12" t="inlineStr">
        <is>
          <t>C-P-0036</t>
        </is>
      </c>
      <c r="B6279" s="12" t="inlineStr">
        <is>
          <t>C</t>
        </is>
      </c>
      <c r="C6279" s="12" t="inlineStr">
        <is>
          <t>Grid interface</t>
        </is>
      </c>
      <c r="D6279" s="12" t="inlineStr">
        <is>
          <t>Motor 7 of 20, 15 kW</t>
        </is>
      </c>
      <c r="E6279" s="12" t="inlineStr">
        <is>
          <t>MCC-C1</t>
        </is>
      </c>
      <c r="F6279" s="12" t="inlineStr">
        <is>
          <t>R1 MCC-C1</t>
        </is>
      </c>
      <c r="G6279" s="12" t="inlineStr"/>
      <c r="H6279" s="12" t="inlineStr">
        <is>
          <t>Water treatment building: rooftop HVAC, exhaust fans, vents</t>
        </is>
      </c>
      <c r="I6279" s="12" t="inlineStr">
        <is>
          <t>LV 600 V</t>
        </is>
      </c>
      <c r="J6279" s="12" t="inlineStr">
        <is>
          <t>Type TC-ER 600 V 3/C Cu XHHW-2 + ground, PVC jacket</t>
        </is>
      </c>
      <c r="K6279" s="12" t="inlineStr">
        <is>
          <t>LV|3/C+G|2</t>
        </is>
      </c>
      <c r="L6279" s="12" t="inlineStr">
        <is>
          <t>3/C+G</t>
        </is>
      </c>
      <c r="M6279" s="12" t="inlineStr">
        <is>
          <t>2</t>
        </is>
      </c>
      <c r="N6279" s="12" t="n">
        <v>1</v>
      </c>
      <c r="O6279" s="12" t="n">
        <v>1</v>
      </c>
      <c r="P6279" s="12" t="n">
        <v>480</v>
      </c>
      <c r="Q6279" s="12" t="n">
        <v>15</v>
      </c>
      <c r="R6279" s="12" t="n">
        <v>21.2</v>
      </c>
      <c r="S6279" s="12" t="inlineStr">
        <is>
          <t>Duct bank</t>
        </is>
      </c>
      <c r="T6279" s="15" t="n">
        <v>1629</v>
      </c>
      <c r="U6279" s="15" t="n">
        <v>161</v>
      </c>
      <c r="V6279" s="15">
        <f>ROUNDUP((T6279+U6279+2*'Read Me'!$B$13)*(1+'Read Me'!$B$12),-1)</f>
        <v/>
      </c>
      <c r="W6279" s="15">
        <f>V6279*N6279*O6279</f>
        <v/>
      </c>
      <c r="X6279" s="12">
        <f>IF(LEFT(I6279,2)="MV",2*N6279*IF(L6279="1/C",O6279,1),0)</f>
        <v/>
      </c>
      <c r="Y6279" s="12">
        <f>IF(OR(LEFT(K6279,4)="LVAX",LEFT(K6279,6)="MV15AX",LEFT(K6279,4)="CTAX",LEFT(K6279,2)="W|"),2*N6279*O6279,0)</f>
        <v/>
      </c>
      <c r="Z6279" s="12" t="inlineStr">
        <is>
          <t>VD 2.9 %</t>
        </is>
      </c>
      <c r="AA6279" s="12">
        <f>N6279*O6279</f>
        <v/>
      </c>
    </row>
    <row r="6280">
      <c r="A6280" s="12" t="inlineStr">
        <is>
          <t>C-P-0037</t>
        </is>
      </c>
      <c r="B6280" s="12" t="inlineStr">
        <is>
          <t>C</t>
        </is>
      </c>
      <c r="C6280" s="12" t="inlineStr">
        <is>
          <t>Grid interface</t>
        </is>
      </c>
      <c r="D6280" s="12" t="inlineStr">
        <is>
          <t>Motor 8 of 20, 15 kW</t>
        </is>
      </c>
      <c r="E6280" s="12" t="inlineStr">
        <is>
          <t>MCC-C1</t>
        </is>
      </c>
      <c r="F6280" s="12" t="inlineStr">
        <is>
          <t>R1 MCC-C1</t>
        </is>
      </c>
      <c r="G6280" s="12" t="inlineStr"/>
      <c r="H6280" s="12" t="inlineStr">
        <is>
          <t>Water treatment building: rooftop HVAC, exhaust fans, vents</t>
        </is>
      </c>
      <c r="I6280" s="12" t="inlineStr">
        <is>
          <t>LV 600 V</t>
        </is>
      </c>
      <c r="J6280" s="12" t="inlineStr">
        <is>
          <t>Type TC-ER 600 V 3/C Cu XHHW-2 + ground, PVC jacket</t>
        </is>
      </c>
      <c r="K6280" s="12" t="inlineStr">
        <is>
          <t>LV|3/C+G|2</t>
        </is>
      </c>
      <c r="L6280" s="12" t="inlineStr">
        <is>
          <t>3/C+G</t>
        </is>
      </c>
      <c r="M6280" s="12" t="inlineStr">
        <is>
          <t>2</t>
        </is>
      </c>
      <c r="N6280" s="12" t="n">
        <v>1</v>
      </c>
      <c r="O6280" s="12" t="n">
        <v>1</v>
      </c>
      <c r="P6280" s="12" t="n">
        <v>480</v>
      </c>
      <c r="Q6280" s="12" t="n">
        <v>15</v>
      </c>
      <c r="R6280" s="12" t="n">
        <v>21.2</v>
      </c>
      <c r="S6280" s="12" t="inlineStr">
        <is>
          <t>Duct bank</t>
        </is>
      </c>
      <c r="T6280" s="15" t="n">
        <v>1629</v>
      </c>
      <c r="U6280" s="15" t="n">
        <v>161</v>
      </c>
      <c r="V6280" s="15">
        <f>ROUNDUP((T6280+U6280+2*'Read Me'!$B$13)*(1+'Read Me'!$B$12),-1)</f>
        <v/>
      </c>
      <c r="W6280" s="15">
        <f>V6280*N6280*O6280</f>
        <v/>
      </c>
      <c r="X6280" s="12">
        <f>IF(LEFT(I6280,2)="MV",2*N6280*IF(L6280="1/C",O6280,1),0)</f>
        <v/>
      </c>
      <c r="Y6280" s="12">
        <f>IF(OR(LEFT(K6280,4)="LVAX",LEFT(K6280,6)="MV15AX",LEFT(K6280,4)="CTAX",LEFT(K6280,2)="W|"),2*N6280*O6280,0)</f>
        <v/>
      </c>
      <c r="Z6280" s="12" t="inlineStr">
        <is>
          <t>VD 2.9 %</t>
        </is>
      </c>
      <c r="AA6280" s="12">
        <f>N6280*O6280</f>
        <v/>
      </c>
    </row>
    <row r="6281">
      <c r="A6281" s="12" t="inlineStr">
        <is>
          <t>C-P-0038</t>
        </is>
      </c>
      <c r="B6281" s="12" t="inlineStr">
        <is>
          <t>C</t>
        </is>
      </c>
      <c r="C6281" s="12" t="inlineStr">
        <is>
          <t>Grid interface</t>
        </is>
      </c>
      <c r="D6281" s="12" t="inlineStr">
        <is>
          <t>Motor 9 of 20, 15 kW</t>
        </is>
      </c>
      <c r="E6281" s="12" t="inlineStr">
        <is>
          <t>MCC-C1</t>
        </is>
      </c>
      <c r="F6281" s="12" t="inlineStr">
        <is>
          <t>R1 MCC-C1</t>
        </is>
      </c>
      <c r="G6281" s="12" t="inlineStr"/>
      <c r="H6281" s="12" t="inlineStr">
        <is>
          <t>Water treatment building: rooftop HVAC, exhaust fans, vents</t>
        </is>
      </c>
      <c r="I6281" s="12" t="inlineStr">
        <is>
          <t>LV 600 V</t>
        </is>
      </c>
      <c r="J6281" s="12" t="inlineStr">
        <is>
          <t>Type TC-ER 600 V 3/C Cu XHHW-2 + ground, PVC jacket</t>
        </is>
      </c>
      <c r="K6281" s="12" t="inlineStr">
        <is>
          <t>LV|3/C+G|2</t>
        </is>
      </c>
      <c r="L6281" s="12" t="inlineStr">
        <is>
          <t>3/C+G</t>
        </is>
      </c>
      <c r="M6281" s="12" t="inlineStr">
        <is>
          <t>2</t>
        </is>
      </c>
      <c r="N6281" s="12" t="n">
        <v>1</v>
      </c>
      <c r="O6281" s="12" t="n">
        <v>1</v>
      </c>
      <c r="P6281" s="12" t="n">
        <v>480</v>
      </c>
      <c r="Q6281" s="12" t="n">
        <v>15</v>
      </c>
      <c r="R6281" s="12" t="n">
        <v>21.2</v>
      </c>
      <c r="S6281" s="12" t="inlineStr">
        <is>
          <t>Duct bank</t>
        </is>
      </c>
      <c r="T6281" s="15" t="n">
        <v>1629</v>
      </c>
      <c r="U6281" s="15" t="n">
        <v>161</v>
      </c>
      <c r="V6281" s="15">
        <f>ROUNDUP((T6281+U6281+2*'Read Me'!$B$13)*(1+'Read Me'!$B$12),-1)</f>
        <v/>
      </c>
      <c r="W6281" s="15">
        <f>V6281*N6281*O6281</f>
        <v/>
      </c>
      <c r="X6281" s="12">
        <f>IF(LEFT(I6281,2)="MV",2*N6281*IF(L6281="1/C",O6281,1),0)</f>
        <v/>
      </c>
      <c r="Y6281" s="12">
        <f>IF(OR(LEFT(K6281,4)="LVAX",LEFT(K6281,6)="MV15AX",LEFT(K6281,4)="CTAX",LEFT(K6281,2)="W|"),2*N6281*O6281,0)</f>
        <v/>
      </c>
      <c r="Z6281" s="12" t="inlineStr">
        <is>
          <t>VD 2.9 %</t>
        </is>
      </c>
      <c r="AA6281" s="12">
        <f>N6281*O6281</f>
        <v/>
      </c>
    </row>
    <row r="6282">
      <c r="A6282" s="12" t="inlineStr">
        <is>
          <t>C-P-0039</t>
        </is>
      </c>
      <c r="B6282" s="12" t="inlineStr">
        <is>
          <t>C</t>
        </is>
      </c>
      <c r="C6282" s="12" t="inlineStr">
        <is>
          <t>Grid interface</t>
        </is>
      </c>
      <c r="D6282" s="12" t="inlineStr">
        <is>
          <t>Motor 10 of 20, 15 kW</t>
        </is>
      </c>
      <c r="E6282" s="12" t="inlineStr">
        <is>
          <t>MCC-C1</t>
        </is>
      </c>
      <c r="F6282" s="12" t="inlineStr">
        <is>
          <t>R1 MCC-C1</t>
        </is>
      </c>
      <c r="G6282" s="12" t="inlineStr"/>
      <c r="H6282" s="12" t="inlineStr">
        <is>
          <t>Water treatment building: rooftop HVAC, exhaust fans, vents</t>
        </is>
      </c>
      <c r="I6282" s="12" t="inlineStr">
        <is>
          <t>LV 600 V</t>
        </is>
      </c>
      <c r="J6282" s="12" t="inlineStr">
        <is>
          <t>Type TC-ER 600 V 3/C Cu XHHW-2 + ground, PVC jacket</t>
        </is>
      </c>
      <c r="K6282" s="12" t="inlineStr">
        <is>
          <t>LV|3/C+G|2</t>
        </is>
      </c>
      <c r="L6282" s="12" t="inlineStr">
        <is>
          <t>3/C+G</t>
        </is>
      </c>
      <c r="M6282" s="12" t="inlineStr">
        <is>
          <t>2</t>
        </is>
      </c>
      <c r="N6282" s="12" t="n">
        <v>1</v>
      </c>
      <c r="O6282" s="12" t="n">
        <v>1</v>
      </c>
      <c r="P6282" s="12" t="n">
        <v>480</v>
      </c>
      <c r="Q6282" s="12" t="n">
        <v>15</v>
      </c>
      <c r="R6282" s="12" t="n">
        <v>21.2</v>
      </c>
      <c r="S6282" s="12" t="inlineStr">
        <is>
          <t>Duct bank</t>
        </is>
      </c>
      <c r="T6282" s="15" t="n">
        <v>1629</v>
      </c>
      <c r="U6282" s="15" t="n">
        <v>161</v>
      </c>
      <c r="V6282" s="15">
        <f>ROUNDUP((T6282+U6282+2*'Read Me'!$B$13)*(1+'Read Me'!$B$12),-1)</f>
        <v/>
      </c>
      <c r="W6282" s="15">
        <f>V6282*N6282*O6282</f>
        <v/>
      </c>
      <c r="X6282" s="12">
        <f>IF(LEFT(I6282,2)="MV",2*N6282*IF(L6282="1/C",O6282,1),0)</f>
        <v/>
      </c>
      <c r="Y6282" s="12">
        <f>IF(OR(LEFT(K6282,4)="LVAX",LEFT(K6282,6)="MV15AX",LEFT(K6282,4)="CTAX",LEFT(K6282,2)="W|"),2*N6282*O6282,0)</f>
        <v/>
      </c>
      <c r="Z6282" s="12" t="inlineStr">
        <is>
          <t>VD 2.9 %</t>
        </is>
      </c>
      <c r="AA6282" s="12">
        <f>N6282*O6282</f>
        <v/>
      </c>
    </row>
    <row r="6283">
      <c r="A6283" s="12" t="inlineStr">
        <is>
          <t>C-P-0040</t>
        </is>
      </c>
      <c r="B6283" s="12" t="inlineStr">
        <is>
          <t>C</t>
        </is>
      </c>
      <c r="C6283" s="12" t="inlineStr">
        <is>
          <t>Grid interface</t>
        </is>
      </c>
      <c r="D6283" s="12" t="inlineStr">
        <is>
          <t>Motor 11 of 20, 15 kW</t>
        </is>
      </c>
      <c r="E6283" s="12" t="inlineStr">
        <is>
          <t>MCC-C1</t>
        </is>
      </c>
      <c r="F6283" s="12" t="inlineStr">
        <is>
          <t>R1 MCC-C1</t>
        </is>
      </c>
      <c r="G6283" s="12" t="inlineStr"/>
      <c r="H6283" s="12" t="inlineStr">
        <is>
          <t>Water treatment building: rooftop HVAC, exhaust fans, vents</t>
        </is>
      </c>
      <c r="I6283" s="12" t="inlineStr">
        <is>
          <t>LV 600 V</t>
        </is>
      </c>
      <c r="J6283" s="12" t="inlineStr">
        <is>
          <t>Type TC-ER 600 V 3/C Cu XHHW-2 + ground, PVC jacket</t>
        </is>
      </c>
      <c r="K6283" s="12" t="inlineStr">
        <is>
          <t>LV|3/C+G|2</t>
        </is>
      </c>
      <c r="L6283" s="12" t="inlineStr">
        <is>
          <t>3/C+G</t>
        </is>
      </c>
      <c r="M6283" s="12" t="inlineStr">
        <is>
          <t>2</t>
        </is>
      </c>
      <c r="N6283" s="12" t="n">
        <v>1</v>
      </c>
      <c r="O6283" s="12" t="n">
        <v>1</v>
      </c>
      <c r="P6283" s="12" t="n">
        <v>480</v>
      </c>
      <c r="Q6283" s="12" t="n">
        <v>15</v>
      </c>
      <c r="R6283" s="12" t="n">
        <v>21.2</v>
      </c>
      <c r="S6283" s="12" t="inlineStr">
        <is>
          <t>Duct bank</t>
        </is>
      </c>
      <c r="T6283" s="15" t="n">
        <v>1629</v>
      </c>
      <c r="U6283" s="15" t="n">
        <v>161</v>
      </c>
      <c r="V6283" s="15">
        <f>ROUNDUP((T6283+U6283+2*'Read Me'!$B$13)*(1+'Read Me'!$B$12),-1)</f>
        <v/>
      </c>
      <c r="W6283" s="15">
        <f>V6283*N6283*O6283</f>
        <v/>
      </c>
      <c r="X6283" s="12">
        <f>IF(LEFT(I6283,2)="MV",2*N6283*IF(L6283="1/C",O6283,1),0)</f>
        <v/>
      </c>
      <c r="Y6283" s="12">
        <f>IF(OR(LEFT(K6283,4)="LVAX",LEFT(K6283,6)="MV15AX",LEFT(K6283,4)="CTAX",LEFT(K6283,2)="W|"),2*N6283*O6283,0)</f>
        <v/>
      </c>
      <c r="Z6283" s="12" t="inlineStr">
        <is>
          <t>VD 2.9 %</t>
        </is>
      </c>
      <c r="AA6283" s="12">
        <f>N6283*O6283</f>
        <v/>
      </c>
    </row>
    <row r="6284">
      <c r="A6284" s="12" t="inlineStr">
        <is>
          <t>C-P-0041</t>
        </is>
      </c>
      <c r="B6284" s="12" t="inlineStr">
        <is>
          <t>C</t>
        </is>
      </c>
      <c r="C6284" s="12" t="inlineStr">
        <is>
          <t>Grid interface</t>
        </is>
      </c>
      <c r="D6284" s="12" t="inlineStr">
        <is>
          <t>Motor 12 of 20, 15 kW</t>
        </is>
      </c>
      <c r="E6284" s="12" t="inlineStr">
        <is>
          <t>MCC-C1</t>
        </is>
      </c>
      <c r="F6284" s="12" t="inlineStr">
        <is>
          <t>R1 MCC-C1</t>
        </is>
      </c>
      <c r="G6284" s="12" t="inlineStr"/>
      <c r="H6284" s="12" t="inlineStr">
        <is>
          <t>Water treatment building: rooftop HVAC, exhaust fans, vents</t>
        </is>
      </c>
      <c r="I6284" s="12" t="inlineStr">
        <is>
          <t>LV 600 V</t>
        </is>
      </c>
      <c r="J6284" s="12" t="inlineStr">
        <is>
          <t>Type TC-ER 600 V 3/C Cu XHHW-2 + ground, PVC jacket</t>
        </is>
      </c>
      <c r="K6284" s="12" t="inlineStr">
        <is>
          <t>LV|3/C+G|2</t>
        </is>
      </c>
      <c r="L6284" s="12" t="inlineStr">
        <is>
          <t>3/C+G</t>
        </is>
      </c>
      <c r="M6284" s="12" t="inlineStr">
        <is>
          <t>2</t>
        </is>
      </c>
      <c r="N6284" s="12" t="n">
        <v>1</v>
      </c>
      <c r="O6284" s="12" t="n">
        <v>1</v>
      </c>
      <c r="P6284" s="12" t="n">
        <v>480</v>
      </c>
      <c r="Q6284" s="12" t="n">
        <v>15</v>
      </c>
      <c r="R6284" s="12" t="n">
        <v>21.2</v>
      </c>
      <c r="S6284" s="12" t="inlineStr">
        <is>
          <t>Duct bank</t>
        </is>
      </c>
      <c r="T6284" s="15" t="n">
        <v>1629</v>
      </c>
      <c r="U6284" s="15" t="n">
        <v>161</v>
      </c>
      <c r="V6284" s="15">
        <f>ROUNDUP((T6284+U6284+2*'Read Me'!$B$13)*(1+'Read Me'!$B$12),-1)</f>
        <v/>
      </c>
      <c r="W6284" s="15">
        <f>V6284*N6284*O6284</f>
        <v/>
      </c>
      <c r="X6284" s="12">
        <f>IF(LEFT(I6284,2)="MV",2*N6284*IF(L6284="1/C",O6284,1),0)</f>
        <v/>
      </c>
      <c r="Y6284" s="12">
        <f>IF(OR(LEFT(K6284,4)="LVAX",LEFT(K6284,6)="MV15AX",LEFT(K6284,4)="CTAX",LEFT(K6284,2)="W|"),2*N6284*O6284,0)</f>
        <v/>
      </c>
      <c r="Z6284" s="12" t="inlineStr">
        <is>
          <t>VD 2.9 %</t>
        </is>
      </c>
      <c r="AA6284" s="12">
        <f>N6284*O6284</f>
        <v/>
      </c>
    </row>
    <row r="6285">
      <c r="A6285" s="12" t="inlineStr">
        <is>
          <t>C-P-0042</t>
        </is>
      </c>
      <c r="B6285" s="12" t="inlineStr">
        <is>
          <t>C</t>
        </is>
      </c>
      <c r="C6285" s="12" t="inlineStr">
        <is>
          <t>Grid interface</t>
        </is>
      </c>
      <c r="D6285" s="12" t="inlineStr">
        <is>
          <t>Motor 13 of 20, 15 kW</t>
        </is>
      </c>
      <c r="E6285" s="12" t="inlineStr">
        <is>
          <t>MCC-C1</t>
        </is>
      </c>
      <c r="F6285" s="12" t="inlineStr">
        <is>
          <t>R1 MCC-C1</t>
        </is>
      </c>
      <c r="G6285" s="12" t="inlineStr"/>
      <c r="H6285" s="12" t="inlineStr">
        <is>
          <t>Water treatment building: rooftop HVAC, exhaust fans, vents</t>
        </is>
      </c>
      <c r="I6285" s="12" t="inlineStr">
        <is>
          <t>LV 600 V</t>
        </is>
      </c>
      <c r="J6285" s="12" t="inlineStr">
        <is>
          <t>Type TC-ER 600 V 3/C Cu XHHW-2 + ground, PVC jacket</t>
        </is>
      </c>
      <c r="K6285" s="12" t="inlineStr">
        <is>
          <t>LV|3/C+G|2</t>
        </is>
      </c>
      <c r="L6285" s="12" t="inlineStr">
        <is>
          <t>3/C+G</t>
        </is>
      </c>
      <c r="M6285" s="12" t="inlineStr">
        <is>
          <t>2</t>
        </is>
      </c>
      <c r="N6285" s="12" t="n">
        <v>1</v>
      </c>
      <c r="O6285" s="12" t="n">
        <v>1</v>
      </c>
      <c r="P6285" s="12" t="n">
        <v>480</v>
      </c>
      <c r="Q6285" s="12" t="n">
        <v>15</v>
      </c>
      <c r="R6285" s="12" t="n">
        <v>21.2</v>
      </c>
      <c r="S6285" s="12" t="inlineStr">
        <is>
          <t>Duct bank</t>
        </is>
      </c>
      <c r="T6285" s="15" t="n">
        <v>1629</v>
      </c>
      <c r="U6285" s="15" t="n">
        <v>161</v>
      </c>
      <c r="V6285" s="15">
        <f>ROUNDUP((T6285+U6285+2*'Read Me'!$B$13)*(1+'Read Me'!$B$12),-1)</f>
        <v/>
      </c>
      <c r="W6285" s="15">
        <f>V6285*N6285*O6285</f>
        <v/>
      </c>
      <c r="X6285" s="12">
        <f>IF(LEFT(I6285,2)="MV",2*N6285*IF(L6285="1/C",O6285,1),0)</f>
        <v/>
      </c>
      <c r="Y6285" s="12">
        <f>IF(OR(LEFT(K6285,4)="LVAX",LEFT(K6285,6)="MV15AX",LEFT(K6285,4)="CTAX",LEFT(K6285,2)="W|"),2*N6285*O6285,0)</f>
        <v/>
      </c>
      <c r="Z6285" s="12" t="inlineStr">
        <is>
          <t>VD 2.9 %</t>
        </is>
      </c>
      <c r="AA6285" s="12">
        <f>N6285*O6285</f>
        <v/>
      </c>
    </row>
    <row r="6286">
      <c r="A6286" s="12" t="inlineStr">
        <is>
          <t>C-P-0043</t>
        </is>
      </c>
      <c r="B6286" s="12" t="inlineStr">
        <is>
          <t>C</t>
        </is>
      </c>
      <c r="C6286" s="12" t="inlineStr">
        <is>
          <t>Grid interface</t>
        </is>
      </c>
      <c r="D6286" s="12" t="inlineStr">
        <is>
          <t>Motor 14 of 20, 15 kW</t>
        </is>
      </c>
      <c r="E6286" s="12" t="inlineStr">
        <is>
          <t>MCC-C1</t>
        </is>
      </c>
      <c r="F6286" s="12" t="inlineStr">
        <is>
          <t>R1 MCC-C1</t>
        </is>
      </c>
      <c r="G6286" s="12" t="inlineStr"/>
      <c r="H6286" s="12" t="inlineStr">
        <is>
          <t>Water treatment building: rooftop HVAC, exhaust fans, vents</t>
        </is>
      </c>
      <c r="I6286" s="12" t="inlineStr">
        <is>
          <t>LV 600 V</t>
        </is>
      </c>
      <c r="J6286" s="12" t="inlineStr">
        <is>
          <t>Type TC-ER 600 V 3/C Cu XHHW-2 + ground, PVC jacket</t>
        </is>
      </c>
      <c r="K6286" s="12" t="inlineStr">
        <is>
          <t>LV|3/C+G|2</t>
        </is>
      </c>
      <c r="L6286" s="12" t="inlineStr">
        <is>
          <t>3/C+G</t>
        </is>
      </c>
      <c r="M6286" s="12" t="inlineStr">
        <is>
          <t>2</t>
        </is>
      </c>
      <c r="N6286" s="12" t="n">
        <v>1</v>
      </c>
      <c r="O6286" s="12" t="n">
        <v>1</v>
      </c>
      <c r="P6286" s="12" t="n">
        <v>480</v>
      </c>
      <c r="Q6286" s="12" t="n">
        <v>15</v>
      </c>
      <c r="R6286" s="12" t="n">
        <v>21.2</v>
      </c>
      <c r="S6286" s="12" t="inlineStr">
        <is>
          <t>Duct bank</t>
        </is>
      </c>
      <c r="T6286" s="15" t="n">
        <v>1629</v>
      </c>
      <c r="U6286" s="15" t="n">
        <v>161</v>
      </c>
      <c r="V6286" s="15">
        <f>ROUNDUP((T6286+U6286+2*'Read Me'!$B$13)*(1+'Read Me'!$B$12),-1)</f>
        <v/>
      </c>
      <c r="W6286" s="15">
        <f>V6286*N6286*O6286</f>
        <v/>
      </c>
      <c r="X6286" s="12">
        <f>IF(LEFT(I6286,2)="MV",2*N6286*IF(L6286="1/C",O6286,1),0)</f>
        <v/>
      </c>
      <c r="Y6286" s="12">
        <f>IF(OR(LEFT(K6286,4)="LVAX",LEFT(K6286,6)="MV15AX",LEFT(K6286,4)="CTAX",LEFT(K6286,2)="W|"),2*N6286*O6286,0)</f>
        <v/>
      </c>
      <c r="Z6286" s="12" t="inlineStr">
        <is>
          <t>VD 2.9 %</t>
        </is>
      </c>
      <c r="AA6286" s="12">
        <f>N6286*O6286</f>
        <v/>
      </c>
    </row>
    <row r="6287">
      <c r="A6287" s="12" t="inlineStr">
        <is>
          <t>C-P-0044</t>
        </is>
      </c>
      <c r="B6287" s="12" t="inlineStr">
        <is>
          <t>C</t>
        </is>
      </c>
      <c r="C6287" s="12" t="inlineStr">
        <is>
          <t>Grid interface</t>
        </is>
      </c>
      <c r="D6287" s="12" t="inlineStr">
        <is>
          <t>Motor 15 of 20, 15 kW</t>
        </is>
      </c>
      <c r="E6287" s="12" t="inlineStr">
        <is>
          <t>MCC-C1</t>
        </is>
      </c>
      <c r="F6287" s="12" t="inlineStr">
        <is>
          <t>R1 MCC-C1</t>
        </is>
      </c>
      <c r="G6287" s="12" t="inlineStr"/>
      <c r="H6287" s="12" t="inlineStr">
        <is>
          <t>Water treatment building: rooftop HVAC, exhaust fans, vents</t>
        </is>
      </c>
      <c r="I6287" s="12" t="inlineStr">
        <is>
          <t>LV 600 V</t>
        </is>
      </c>
      <c r="J6287" s="12" t="inlineStr">
        <is>
          <t>Type TC-ER 600 V 3/C Cu XHHW-2 + ground, PVC jacket</t>
        </is>
      </c>
      <c r="K6287" s="12" t="inlineStr">
        <is>
          <t>LV|3/C+G|2</t>
        </is>
      </c>
      <c r="L6287" s="12" t="inlineStr">
        <is>
          <t>3/C+G</t>
        </is>
      </c>
      <c r="M6287" s="12" t="inlineStr">
        <is>
          <t>2</t>
        </is>
      </c>
      <c r="N6287" s="12" t="n">
        <v>1</v>
      </c>
      <c r="O6287" s="12" t="n">
        <v>1</v>
      </c>
      <c r="P6287" s="12" t="n">
        <v>480</v>
      </c>
      <c r="Q6287" s="12" t="n">
        <v>15</v>
      </c>
      <c r="R6287" s="12" t="n">
        <v>21.2</v>
      </c>
      <c r="S6287" s="12" t="inlineStr">
        <is>
          <t>Duct bank</t>
        </is>
      </c>
      <c r="T6287" s="15" t="n">
        <v>1629</v>
      </c>
      <c r="U6287" s="15" t="n">
        <v>161</v>
      </c>
      <c r="V6287" s="15">
        <f>ROUNDUP((T6287+U6287+2*'Read Me'!$B$13)*(1+'Read Me'!$B$12),-1)</f>
        <v/>
      </c>
      <c r="W6287" s="15">
        <f>V6287*N6287*O6287</f>
        <v/>
      </c>
      <c r="X6287" s="12">
        <f>IF(LEFT(I6287,2)="MV",2*N6287*IF(L6287="1/C",O6287,1),0)</f>
        <v/>
      </c>
      <c r="Y6287" s="12">
        <f>IF(OR(LEFT(K6287,4)="LVAX",LEFT(K6287,6)="MV15AX",LEFT(K6287,4)="CTAX",LEFT(K6287,2)="W|"),2*N6287*O6287,0)</f>
        <v/>
      </c>
      <c r="Z6287" s="12" t="inlineStr">
        <is>
          <t>VD 2.9 %</t>
        </is>
      </c>
      <c r="AA6287" s="12">
        <f>N6287*O6287</f>
        <v/>
      </c>
    </row>
    <row r="6288">
      <c r="A6288" s="12" t="inlineStr">
        <is>
          <t>C-P-0045</t>
        </is>
      </c>
      <c r="B6288" s="12" t="inlineStr">
        <is>
          <t>C</t>
        </is>
      </c>
      <c r="C6288" s="12" t="inlineStr">
        <is>
          <t>Grid interface</t>
        </is>
      </c>
      <c r="D6288" s="12" t="inlineStr">
        <is>
          <t>Motor 16 of 20, 15 kW</t>
        </is>
      </c>
      <c r="E6288" s="12" t="inlineStr">
        <is>
          <t>MCC-C1</t>
        </is>
      </c>
      <c r="F6288" s="12" t="inlineStr">
        <is>
          <t>R1 MCC-C1</t>
        </is>
      </c>
      <c r="G6288" s="12" t="inlineStr"/>
      <c r="H6288" s="12" t="inlineStr">
        <is>
          <t>Water treatment building: rooftop HVAC, exhaust fans, vents</t>
        </is>
      </c>
      <c r="I6288" s="12" t="inlineStr">
        <is>
          <t>LV 600 V</t>
        </is>
      </c>
      <c r="J6288" s="12" t="inlineStr">
        <is>
          <t>Type TC-ER 600 V 3/C Cu XHHW-2 + ground, PVC jacket</t>
        </is>
      </c>
      <c r="K6288" s="12" t="inlineStr">
        <is>
          <t>LV|3/C+G|2</t>
        </is>
      </c>
      <c r="L6288" s="12" t="inlineStr">
        <is>
          <t>3/C+G</t>
        </is>
      </c>
      <c r="M6288" s="12" t="inlineStr">
        <is>
          <t>2</t>
        </is>
      </c>
      <c r="N6288" s="12" t="n">
        <v>1</v>
      </c>
      <c r="O6288" s="12" t="n">
        <v>1</v>
      </c>
      <c r="P6288" s="12" t="n">
        <v>480</v>
      </c>
      <c r="Q6288" s="12" t="n">
        <v>15</v>
      </c>
      <c r="R6288" s="12" t="n">
        <v>21.2</v>
      </c>
      <c r="S6288" s="12" t="inlineStr">
        <is>
          <t>Duct bank</t>
        </is>
      </c>
      <c r="T6288" s="15" t="n">
        <v>1629</v>
      </c>
      <c r="U6288" s="15" t="n">
        <v>161</v>
      </c>
      <c r="V6288" s="15">
        <f>ROUNDUP((T6288+U6288+2*'Read Me'!$B$13)*(1+'Read Me'!$B$12),-1)</f>
        <v/>
      </c>
      <c r="W6288" s="15">
        <f>V6288*N6288*O6288</f>
        <v/>
      </c>
      <c r="X6288" s="12">
        <f>IF(LEFT(I6288,2)="MV",2*N6288*IF(L6288="1/C",O6288,1),0)</f>
        <v/>
      </c>
      <c r="Y6288" s="12">
        <f>IF(OR(LEFT(K6288,4)="LVAX",LEFT(K6288,6)="MV15AX",LEFT(K6288,4)="CTAX",LEFT(K6288,2)="W|"),2*N6288*O6288,0)</f>
        <v/>
      </c>
      <c r="Z6288" s="12" t="inlineStr">
        <is>
          <t>VD 2.9 %</t>
        </is>
      </c>
      <c r="AA6288" s="12">
        <f>N6288*O6288</f>
        <v/>
      </c>
    </row>
    <row r="6289">
      <c r="A6289" s="12" t="inlineStr">
        <is>
          <t>C-P-0046</t>
        </is>
      </c>
      <c r="B6289" s="12" t="inlineStr">
        <is>
          <t>C</t>
        </is>
      </c>
      <c r="C6289" s="12" t="inlineStr">
        <is>
          <t>Grid interface</t>
        </is>
      </c>
      <c r="D6289" s="12" t="inlineStr">
        <is>
          <t>Motor 17 of 20, 15 kW</t>
        </is>
      </c>
      <c r="E6289" s="12" t="inlineStr">
        <is>
          <t>MCC-C1</t>
        </is>
      </c>
      <c r="F6289" s="12" t="inlineStr">
        <is>
          <t>R1 MCC-C1</t>
        </is>
      </c>
      <c r="G6289" s="12" t="inlineStr"/>
      <c r="H6289" s="12" t="inlineStr">
        <is>
          <t>Water treatment building: rooftop HVAC, exhaust fans, vents</t>
        </is>
      </c>
      <c r="I6289" s="12" t="inlineStr">
        <is>
          <t>LV 600 V</t>
        </is>
      </c>
      <c r="J6289" s="12" t="inlineStr">
        <is>
          <t>Type TC-ER 600 V 3/C Cu XHHW-2 + ground, PVC jacket</t>
        </is>
      </c>
      <c r="K6289" s="12" t="inlineStr">
        <is>
          <t>LV|3/C+G|2</t>
        </is>
      </c>
      <c r="L6289" s="12" t="inlineStr">
        <is>
          <t>3/C+G</t>
        </is>
      </c>
      <c r="M6289" s="12" t="inlineStr">
        <is>
          <t>2</t>
        </is>
      </c>
      <c r="N6289" s="12" t="n">
        <v>1</v>
      </c>
      <c r="O6289" s="12" t="n">
        <v>1</v>
      </c>
      <c r="P6289" s="12" t="n">
        <v>480</v>
      </c>
      <c r="Q6289" s="12" t="n">
        <v>15</v>
      </c>
      <c r="R6289" s="12" t="n">
        <v>21.2</v>
      </c>
      <c r="S6289" s="12" t="inlineStr">
        <is>
          <t>Duct bank</t>
        </is>
      </c>
      <c r="T6289" s="15" t="n">
        <v>1629</v>
      </c>
      <c r="U6289" s="15" t="n">
        <v>161</v>
      </c>
      <c r="V6289" s="15">
        <f>ROUNDUP((T6289+U6289+2*'Read Me'!$B$13)*(1+'Read Me'!$B$12),-1)</f>
        <v/>
      </c>
      <c r="W6289" s="15">
        <f>V6289*N6289*O6289</f>
        <v/>
      </c>
      <c r="X6289" s="12">
        <f>IF(LEFT(I6289,2)="MV",2*N6289*IF(L6289="1/C",O6289,1),0)</f>
        <v/>
      </c>
      <c r="Y6289" s="12">
        <f>IF(OR(LEFT(K6289,4)="LVAX",LEFT(K6289,6)="MV15AX",LEFT(K6289,4)="CTAX",LEFT(K6289,2)="W|"),2*N6289*O6289,0)</f>
        <v/>
      </c>
      <c r="Z6289" s="12" t="inlineStr">
        <is>
          <t>VD 2.9 %</t>
        </is>
      </c>
      <c r="AA6289" s="12">
        <f>N6289*O6289</f>
        <v/>
      </c>
    </row>
    <row r="6290">
      <c r="A6290" s="12" t="inlineStr">
        <is>
          <t>C-P-0047</t>
        </is>
      </c>
      <c r="B6290" s="12" t="inlineStr">
        <is>
          <t>C</t>
        </is>
      </c>
      <c r="C6290" s="12" t="inlineStr">
        <is>
          <t>Grid interface</t>
        </is>
      </c>
      <c r="D6290" s="12" t="inlineStr">
        <is>
          <t>Motor 18 of 20, 15 kW</t>
        </is>
      </c>
      <c r="E6290" s="12" t="inlineStr">
        <is>
          <t>MCC-C1</t>
        </is>
      </c>
      <c r="F6290" s="12" t="inlineStr">
        <is>
          <t>R1 MCC-C1</t>
        </is>
      </c>
      <c r="G6290" s="12" t="inlineStr"/>
      <c r="H6290" s="12" t="inlineStr">
        <is>
          <t>Water treatment building: rooftop HVAC, exhaust fans, vents</t>
        </is>
      </c>
      <c r="I6290" s="12" t="inlineStr">
        <is>
          <t>LV 600 V</t>
        </is>
      </c>
      <c r="J6290" s="12" t="inlineStr">
        <is>
          <t>Type TC-ER 600 V 3/C Cu XHHW-2 + ground, PVC jacket</t>
        </is>
      </c>
      <c r="K6290" s="12" t="inlineStr">
        <is>
          <t>LV|3/C+G|2</t>
        </is>
      </c>
      <c r="L6290" s="12" t="inlineStr">
        <is>
          <t>3/C+G</t>
        </is>
      </c>
      <c r="M6290" s="12" t="inlineStr">
        <is>
          <t>2</t>
        </is>
      </c>
      <c r="N6290" s="12" t="n">
        <v>1</v>
      </c>
      <c r="O6290" s="12" t="n">
        <v>1</v>
      </c>
      <c r="P6290" s="12" t="n">
        <v>480</v>
      </c>
      <c r="Q6290" s="12" t="n">
        <v>15</v>
      </c>
      <c r="R6290" s="12" t="n">
        <v>21.2</v>
      </c>
      <c r="S6290" s="12" t="inlineStr">
        <is>
          <t>Duct bank</t>
        </is>
      </c>
      <c r="T6290" s="15" t="n">
        <v>1629</v>
      </c>
      <c r="U6290" s="15" t="n">
        <v>161</v>
      </c>
      <c r="V6290" s="15">
        <f>ROUNDUP((T6290+U6290+2*'Read Me'!$B$13)*(1+'Read Me'!$B$12),-1)</f>
        <v/>
      </c>
      <c r="W6290" s="15">
        <f>V6290*N6290*O6290</f>
        <v/>
      </c>
      <c r="X6290" s="12">
        <f>IF(LEFT(I6290,2)="MV",2*N6290*IF(L6290="1/C",O6290,1),0)</f>
        <v/>
      </c>
      <c r="Y6290" s="12">
        <f>IF(OR(LEFT(K6290,4)="LVAX",LEFT(K6290,6)="MV15AX",LEFT(K6290,4)="CTAX",LEFT(K6290,2)="W|"),2*N6290*O6290,0)</f>
        <v/>
      </c>
      <c r="Z6290" s="12" t="inlineStr">
        <is>
          <t>VD 2.9 %</t>
        </is>
      </c>
      <c r="AA6290" s="12">
        <f>N6290*O6290</f>
        <v/>
      </c>
    </row>
    <row r="6291">
      <c r="A6291" s="12" t="inlineStr">
        <is>
          <t>C-P-0048</t>
        </is>
      </c>
      <c r="B6291" s="12" t="inlineStr">
        <is>
          <t>C</t>
        </is>
      </c>
      <c r="C6291" s="12" t="inlineStr">
        <is>
          <t>Grid interface</t>
        </is>
      </c>
      <c r="D6291" s="12" t="inlineStr">
        <is>
          <t>Motor 19 of 20, 15 kW</t>
        </is>
      </c>
      <c r="E6291" s="12" t="inlineStr">
        <is>
          <t>MCC-C1</t>
        </is>
      </c>
      <c r="F6291" s="12" t="inlineStr">
        <is>
          <t>R1 MCC-C1</t>
        </is>
      </c>
      <c r="G6291" s="12" t="inlineStr"/>
      <c r="H6291" s="12" t="inlineStr">
        <is>
          <t>Water treatment building: rooftop HVAC, exhaust fans, vents</t>
        </is>
      </c>
      <c r="I6291" s="12" t="inlineStr">
        <is>
          <t>LV 600 V</t>
        </is>
      </c>
      <c r="J6291" s="12" t="inlineStr">
        <is>
          <t>Type TC-ER 600 V 3/C Cu XHHW-2 + ground, PVC jacket</t>
        </is>
      </c>
      <c r="K6291" s="12" t="inlineStr">
        <is>
          <t>LV|3/C+G|2</t>
        </is>
      </c>
      <c r="L6291" s="12" t="inlineStr">
        <is>
          <t>3/C+G</t>
        </is>
      </c>
      <c r="M6291" s="12" t="inlineStr">
        <is>
          <t>2</t>
        </is>
      </c>
      <c r="N6291" s="12" t="n">
        <v>1</v>
      </c>
      <c r="O6291" s="12" t="n">
        <v>1</v>
      </c>
      <c r="P6291" s="12" t="n">
        <v>480</v>
      </c>
      <c r="Q6291" s="12" t="n">
        <v>15</v>
      </c>
      <c r="R6291" s="12" t="n">
        <v>21.2</v>
      </c>
      <c r="S6291" s="12" t="inlineStr">
        <is>
          <t>Duct bank</t>
        </is>
      </c>
      <c r="T6291" s="15" t="n">
        <v>1629</v>
      </c>
      <c r="U6291" s="15" t="n">
        <v>161</v>
      </c>
      <c r="V6291" s="15">
        <f>ROUNDUP((T6291+U6291+2*'Read Me'!$B$13)*(1+'Read Me'!$B$12),-1)</f>
        <v/>
      </c>
      <c r="W6291" s="15">
        <f>V6291*N6291*O6291</f>
        <v/>
      </c>
      <c r="X6291" s="12">
        <f>IF(LEFT(I6291,2)="MV",2*N6291*IF(L6291="1/C",O6291,1),0)</f>
        <v/>
      </c>
      <c r="Y6291" s="12">
        <f>IF(OR(LEFT(K6291,4)="LVAX",LEFT(K6291,6)="MV15AX",LEFT(K6291,4)="CTAX",LEFT(K6291,2)="W|"),2*N6291*O6291,0)</f>
        <v/>
      </c>
      <c r="Z6291" s="12" t="inlineStr">
        <is>
          <t>VD 2.9 %</t>
        </is>
      </c>
      <c r="AA6291" s="12">
        <f>N6291*O6291</f>
        <v/>
      </c>
    </row>
    <row r="6292">
      <c r="A6292" s="12" t="inlineStr">
        <is>
          <t>C-P-0049</t>
        </is>
      </c>
      <c r="B6292" s="12" t="inlineStr">
        <is>
          <t>C</t>
        </is>
      </c>
      <c r="C6292" s="12" t="inlineStr">
        <is>
          <t>Grid interface</t>
        </is>
      </c>
      <c r="D6292" s="12" t="inlineStr">
        <is>
          <t>Motor 20 of 20, 15 kW</t>
        </is>
      </c>
      <c r="E6292" s="12" t="inlineStr">
        <is>
          <t>MCC-C1</t>
        </is>
      </c>
      <c r="F6292" s="12" t="inlineStr">
        <is>
          <t>R1 MCC-C1</t>
        </is>
      </c>
      <c r="G6292" s="12" t="inlineStr"/>
      <c r="H6292" s="12" t="inlineStr">
        <is>
          <t>Water treatment building: rooftop HVAC, exhaust fans, vents</t>
        </is>
      </c>
      <c r="I6292" s="12" t="inlineStr">
        <is>
          <t>LV 600 V</t>
        </is>
      </c>
      <c r="J6292" s="12" t="inlineStr">
        <is>
          <t>Type TC-ER 600 V 3/C Cu XHHW-2 + ground, PVC jacket</t>
        </is>
      </c>
      <c r="K6292" s="12" t="inlineStr">
        <is>
          <t>LV|3/C+G|2</t>
        </is>
      </c>
      <c r="L6292" s="12" t="inlineStr">
        <is>
          <t>3/C+G</t>
        </is>
      </c>
      <c r="M6292" s="12" t="inlineStr">
        <is>
          <t>2</t>
        </is>
      </c>
      <c r="N6292" s="12" t="n">
        <v>1</v>
      </c>
      <c r="O6292" s="12" t="n">
        <v>1</v>
      </c>
      <c r="P6292" s="12" t="n">
        <v>480</v>
      </c>
      <c r="Q6292" s="12" t="n">
        <v>15</v>
      </c>
      <c r="R6292" s="12" t="n">
        <v>21.2</v>
      </c>
      <c r="S6292" s="12" t="inlineStr">
        <is>
          <t>Duct bank</t>
        </is>
      </c>
      <c r="T6292" s="15" t="n">
        <v>1629</v>
      </c>
      <c r="U6292" s="15" t="n">
        <v>161</v>
      </c>
      <c r="V6292" s="15">
        <f>ROUNDUP((T6292+U6292+2*'Read Me'!$B$13)*(1+'Read Me'!$B$12),-1)</f>
        <v/>
      </c>
      <c r="W6292" s="15">
        <f>V6292*N6292*O6292</f>
        <v/>
      </c>
      <c r="X6292" s="12">
        <f>IF(LEFT(I6292,2)="MV",2*N6292*IF(L6292="1/C",O6292,1),0)</f>
        <v/>
      </c>
      <c r="Y6292" s="12">
        <f>IF(OR(LEFT(K6292,4)="LVAX",LEFT(K6292,6)="MV15AX",LEFT(K6292,4)="CTAX",LEFT(K6292,2)="W|"),2*N6292*O6292,0)</f>
        <v/>
      </c>
      <c r="Z6292" s="12" t="inlineStr">
        <is>
          <t>VD 2.9 %</t>
        </is>
      </c>
      <c r="AA6292" s="12">
        <f>N6292*O6292</f>
        <v/>
      </c>
    </row>
  </sheetData>
  <autoFilter ref="A1:AA629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Schedule'!$AA$2:$AA$6292,'Cable Schedule'!$K$2:$K$6292,A2)</f>
        <v/>
      </c>
      <c r="G2" s="17">
        <f>SUMIFS('Cable Schedule'!$W$2:$W$6292,'Cable Schedule'!$K$2:$K$6292,A2)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Schedule'!$AA$2:$AA$6292,'Cable Schedule'!$K$2:$K$6292,A3)</f>
        <v/>
      </c>
      <c r="G3" s="17">
        <f>SUMIFS('Cable Schedule'!$W$2:$W$6292,'Cable Schedule'!$K$2:$K$6292,A3)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Schedule'!$AA$2:$AA$6292,'Cable Schedule'!$K$2:$K$6292,A4)</f>
        <v/>
      </c>
      <c r="G4" s="17">
        <f>SUMIFS('Cable Schedule'!$W$2:$W$6292,'Cable Schedule'!$K$2:$K$6292,A4)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Schedule'!$AA$2:$AA$6292,'Cable Schedule'!$K$2:$K$6292,A5)</f>
        <v/>
      </c>
      <c r="G5" s="17">
        <f>SUMIFS('Cable Schedule'!$W$2:$W$6292,'Cable Schedule'!$K$2:$K$6292,A5)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Schedule'!$AA$2:$AA$6292,'Cable Schedule'!$K$2:$K$6292,A6)</f>
        <v/>
      </c>
      <c r="G6" s="17">
        <f>SUMIFS('Cable Schedule'!$W$2:$W$6292,'Cable Schedule'!$K$2:$K$6292,A6)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Schedule'!$AA$2:$AA$6292,'Cable Schedule'!$K$2:$K$6292,A7)</f>
        <v/>
      </c>
      <c r="G7" s="17">
        <f>SUMIFS('Cable Schedule'!$W$2:$W$6292,'Cable Schedule'!$K$2:$K$6292,A7)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Schedule'!$AA$2:$AA$6292,'Cable Schedule'!$K$2:$K$6292,A8)</f>
        <v/>
      </c>
      <c r="G8" s="17">
        <f>SUMIFS('Cable Schedule'!$W$2:$W$6292,'Cable Schedule'!$K$2:$K$6292,A8)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Schedule'!$AA$2:$AA$6292,'Cable Schedule'!$K$2:$K$6292,A9)</f>
        <v/>
      </c>
      <c r="G9" s="17">
        <f>SUMIFS('Cable Schedule'!$W$2:$W$6292,'Cable Schedule'!$K$2:$K$6292,A9)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Schedule'!$AA$2:$AA$6292,'Cable Schedule'!$K$2:$K$6292,A10)</f>
        <v/>
      </c>
      <c r="G10" s="17">
        <f>SUMIFS('Cable Schedule'!$W$2:$W$6292,'Cable Schedule'!$K$2:$K$6292,A10)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Schedule'!$AA$2:$AA$6292,'Cable Schedule'!$K$2:$K$6292,A11)</f>
        <v/>
      </c>
      <c r="G11" s="17">
        <f>SUMIFS('Cable Schedule'!$W$2:$W$6292,'Cable Schedule'!$K$2:$K$6292,A11)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Schedule'!$AA$2:$AA$6292,'Cable Schedule'!$K$2:$K$6292,A12)</f>
        <v/>
      </c>
      <c r="G12" s="17">
        <f>SUMIFS('Cable Schedule'!$W$2:$W$6292,'Cable Schedule'!$K$2:$K$6292,A12)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Schedule'!$AA$2:$AA$6292,'Cable Schedule'!$K$2:$K$6292,A13)</f>
        <v/>
      </c>
      <c r="G13" s="17">
        <f>SUMIFS('Cable Schedule'!$W$2:$W$6292,'Cable Schedule'!$K$2:$K$6292,A13)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Schedule'!$AA$2:$AA$6292,'Cable Schedule'!$K$2:$K$6292,A14)</f>
        <v/>
      </c>
      <c r="G14" s="17">
        <f>SUMIFS('Cable Schedule'!$W$2:$W$6292,'Cable Schedule'!$K$2:$K$6292,A14)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Schedule'!$AA$2:$AA$6292,'Cable Schedule'!$K$2:$K$6292,A15)</f>
        <v/>
      </c>
      <c r="G15" s="17">
        <f>SUMIFS('Cable Schedule'!$W$2:$W$6292,'Cable Schedule'!$K$2:$K$6292,A15)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Schedule'!$AA$2:$AA$6292,'Cable Schedule'!$K$2:$K$6292,A16)</f>
        <v/>
      </c>
      <c r="G16" s="17">
        <f>SUMIFS('Cable Schedule'!$W$2:$W$6292,'Cable Schedule'!$K$2:$K$6292,A16)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Schedule'!$AA$2:$AA$6292,'Cable Schedule'!$K$2:$K$6292,A17)</f>
        <v/>
      </c>
      <c r="G17" s="17">
        <f>SUMIFS('Cable Schedule'!$W$2:$W$6292,'Cable Schedule'!$K$2:$K$6292,A17)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Schedule'!$AA$2:$AA$6292,'Cable Schedule'!$K$2:$K$6292,A18)</f>
        <v/>
      </c>
      <c r="G18" s="17">
        <f>SUMIFS('Cable Schedule'!$W$2:$W$6292,'Cable Schedule'!$K$2:$K$6292,A18)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Schedule'!$AA$2:$AA$6292,'Cable Schedule'!$K$2:$K$6292,A19)</f>
        <v/>
      </c>
      <c r="G19" s="17">
        <f>SUMIFS('Cable Schedule'!$W$2:$W$6292,'Cable Schedule'!$K$2:$K$6292,A19)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Schedule'!$AA$2:$AA$6292,'Cable Schedule'!$K$2:$K$6292,A20)</f>
        <v/>
      </c>
      <c r="G20" s="17">
        <f>SUMIFS('Cable Schedule'!$W$2:$W$6292,'Cable Schedule'!$K$2:$K$6292,A20)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Schedule'!$AA$2:$AA$6292,'Cable Schedule'!$K$2:$K$6292,A21)</f>
        <v/>
      </c>
      <c r="G21" s="17">
        <f>SUMIFS('Cable Schedule'!$W$2:$W$6292,'Cable Schedule'!$K$2:$K$6292,A21)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Schedule'!$AA$2:$AA$6292,'Cable Schedule'!$K$2:$K$6292,A22)</f>
        <v/>
      </c>
      <c r="G22" s="17">
        <f>SUMIFS('Cable Schedule'!$W$2:$W$6292,'Cable Schedule'!$K$2:$K$6292,A22)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Schedule'!$AA$2:$AA$6292,'Cable Schedule'!$K$2:$K$6292,A23)</f>
        <v/>
      </c>
      <c r="G23" s="17">
        <f>SUMIFS('Cable Schedule'!$W$2:$W$6292,'Cable Schedule'!$K$2:$K$6292,A23)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Schedule'!$AA$2:$AA$6292,'Cable Schedule'!$K$2:$K$6292,A24)</f>
        <v/>
      </c>
      <c r="G24" s="17">
        <f>SUMIFS('Cable Schedule'!$W$2:$W$6292,'Cable Schedule'!$K$2:$K$6292,A24)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Schedule'!$AA$2:$AA$6292,'Cable Schedule'!$K$2:$K$6292,A25)</f>
        <v/>
      </c>
      <c r="G25" s="17">
        <f>SUMIFS('Cable Schedule'!$W$2:$W$6292,'Cable Schedule'!$K$2:$K$6292,A25)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Schedule'!$AA$2:$AA$6292,'Cable Schedule'!$K$2:$K$6292,A26)</f>
        <v/>
      </c>
      <c r="G26" s="17">
        <f>SUMIFS('Cable Schedule'!$W$2:$W$6292,'Cable Schedule'!$K$2:$K$6292,A26)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Schedule'!$AA$2:$AA$6292,'Cable Schedule'!$K$2:$K$6292,A27)</f>
        <v/>
      </c>
      <c r="G27" s="17">
        <f>SUMIFS('Cable Schedule'!$W$2:$W$6292,'Cable Schedule'!$K$2:$K$6292,A27)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Schedule'!$AA$2:$AA$6292,'Cable Schedule'!$K$2:$K$6292,A28)</f>
        <v/>
      </c>
      <c r="G28" s="17">
        <f>SUMIFS('Cable Schedule'!$W$2:$W$6292,'Cable Schedule'!$K$2:$K$6292,A28)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Schedule'!$AA$2:$AA$6292,'Cable Schedule'!$K$2:$K$6292,A29)</f>
        <v/>
      </c>
      <c r="G29" s="17">
        <f>SUMIFS('Cable Schedule'!$W$2:$W$6292,'Cable Schedule'!$K$2:$K$6292,A29)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Schedule'!$AA$2:$AA$6292,'Cable Schedule'!$K$2:$K$6292,A30)</f>
        <v/>
      </c>
      <c r="G30" s="17">
        <f>SUMIFS('Cable Schedule'!$W$2:$W$6292,'Cable Schedule'!$K$2:$K$6292,A30)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Schedule'!$AA$2:$AA$6292,'Cable Schedule'!$K$2:$K$6292,A31)</f>
        <v/>
      </c>
      <c r="G31" s="17">
        <f>SUMIFS('Cable Schedule'!$W$2:$W$6292,'Cable Schedule'!$K$2:$K$6292,A31)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Schedule'!$AA$2:$AA$6292,'Cable Schedule'!$K$2:$K$6292,A32)</f>
        <v/>
      </c>
      <c r="G32" s="17">
        <f>SUMIFS('Cable Schedule'!$W$2:$W$6292,'Cable Schedule'!$K$2:$K$6292,A32)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Schedule'!$AA$2:$AA$6292,'Cable Schedule'!$K$2:$K$6292,A33)</f>
        <v/>
      </c>
      <c r="G33" s="17">
        <f>SUMIFS('Cable Schedule'!$W$2:$W$6292,'Cable Schedule'!$K$2:$K$6292,A33)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Schedule'!$AA$2:$AA$6292,'Cable Schedule'!$K$2:$K$6292,A34)</f>
        <v/>
      </c>
      <c r="G34" s="17">
        <f>SUMIFS('Cable Schedule'!$W$2:$W$6292,'Cable Schedule'!$K$2:$K$6292,A34)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Schedule'!$AA$2:$AA$6292,'Cable Schedule'!$K$2:$K$6292,A35)</f>
        <v/>
      </c>
      <c r="G35" s="17">
        <f>SUMIFS('Cable Schedule'!$W$2:$W$6292,'Cable Schedule'!$K$2:$K$6292,A35)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Schedule'!$AA$2:$AA$6292,'Cable Schedule'!$K$2:$K$6292,A36)</f>
        <v/>
      </c>
      <c r="G36" s="17">
        <f>SUMIFS('Cable Schedule'!$W$2:$W$6292,'Cable Schedule'!$K$2:$K$6292,A36)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Schedule'!$AA$2:$AA$6292,'Cable Schedule'!$K$2:$K$6292,A37)</f>
        <v/>
      </c>
      <c r="G37" s="17">
        <f>SUMIFS('Cable Schedule'!$W$2:$W$6292,'Cable Schedule'!$K$2:$K$6292,A37)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Schedule'!$AA$2:$AA$6292,'Cable Schedule'!$K$2:$K$6292,A38)</f>
        <v/>
      </c>
      <c r="G38" s="17">
        <f>SUMIFS('Cable Schedule'!$W$2:$W$6292,'Cable Schedule'!$K$2:$K$6292,A38)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Schedule'!$AA$2:$AA$6292,'Cable Schedule'!$K$2:$K$6292,A39)</f>
        <v/>
      </c>
      <c r="G39" s="17">
        <f>SUMIFS('Cable Schedule'!$W$2:$W$6292,'Cable Schedule'!$K$2:$K$6292,A39)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Schedule'!$AA$2:$AA$6292,'Cable Schedule'!$K$2:$K$6292,A40)</f>
        <v/>
      </c>
      <c r="G40" s="17">
        <f>SUMIFS('Cable Schedule'!$W$2:$W$6292,'Cable Schedule'!$K$2:$K$6292,A40)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Schedule'!$AA$2:$AA$6292,'Cable Schedule'!$K$2:$K$6292,A41)</f>
        <v/>
      </c>
      <c r="G41" s="17">
        <f>SUMIFS('Cable Schedule'!$W$2:$W$6292,'Cable Schedule'!$K$2:$K$6292,A41)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Schedule'!$AA$2:$AA$6292,'Cable Schedule'!$K$2:$K$6292,A42)</f>
        <v/>
      </c>
      <c r="G42" s="17">
        <f>SUMIFS('Cable Schedule'!$W$2:$W$6292,'Cable Schedule'!$K$2:$K$6292,A42)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Schedule'!$AA$2:$AA$6292,'Cable Schedule'!$K$2:$K$6292,A43)</f>
        <v/>
      </c>
      <c r="G43" s="17">
        <f>SUMIFS('Cable Schedule'!$W$2:$W$6292,'Cable Schedule'!$K$2:$K$6292,A43)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Schedule'!$AA$2:$AA$6292,'Cable Schedule'!$K$2:$K$6292,A44)</f>
        <v/>
      </c>
      <c r="G44" s="17">
        <f>SUMIFS('Cable Schedule'!$W$2:$W$6292,'Cable Schedule'!$K$2:$K$6292,A44)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Schedule'!$AA$2:$AA$6292,'Cable Schedule'!$K$2:$K$6292,A45)</f>
        <v/>
      </c>
      <c r="G45" s="17">
        <f>SUMIFS('Cable Schedule'!$W$2:$W$6292,'Cable Schedule'!$K$2:$K$6292,A45)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Schedule'!$AA$2:$AA$6292,'Cable Schedule'!$K$2:$K$6292,A46)</f>
        <v/>
      </c>
      <c r="G46" s="17">
        <f>SUMIFS('Cable Schedule'!$W$2:$W$6292,'Cable Schedule'!$K$2:$K$6292,A46)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Schedule'!$AA$2:$AA$6292,'Cable Schedule'!$K$2:$K$6292,A47)</f>
        <v/>
      </c>
      <c r="G47" s="17">
        <f>SUMIFS('Cable Schedule'!$W$2:$W$6292,'Cable Schedule'!$K$2:$K$6292,A47)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Schedule'!$AA$2:$AA$6292,'Cable Schedule'!$K$2:$K$6292,A48)</f>
        <v/>
      </c>
      <c r="G48" s="17">
        <f>SUMIFS('Cable Schedule'!$W$2:$W$6292,'Cable Schedule'!$K$2:$K$6292,A48)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Schedule'!$AA$2:$AA$6292,'Cable Schedule'!$K$2:$K$6292,A49)</f>
        <v/>
      </c>
      <c r="G49" s="17">
        <f>SUMIFS('Cable Schedule'!$W$2:$W$6292,'Cable Schedule'!$K$2:$K$6292,A49)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Schedule'!$AA$2:$AA$6292,'Cable Schedule'!$K$2:$K$6292,A50)</f>
        <v/>
      </c>
      <c r="G50" s="17">
        <f>SUMIFS('Cable Schedule'!$W$2:$W$6292,'Cable Schedule'!$K$2:$K$6292,A50)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Schedule'!$AA$2:$AA$6292,'Cable Schedule'!$K$2:$K$6292,A51)</f>
        <v/>
      </c>
      <c r="G51" s="17">
        <f>SUMIFS('Cable Schedule'!$W$2:$W$6292,'Cable Schedule'!$K$2:$K$6292,A51)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Schedule'!$AA$2:$AA$6292,'Cable Schedule'!$K$2:$K$6292,A52)</f>
        <v/>
      </c>
      <c r="G52" s="17">
        <f>SUMIFS('Cable Schedule'!$W$2:$W$6292,'Cable Schedule'!$K$2:$K$6292,A52)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Schedule'!$AA$2:$AA$6292,'Cable Schedule'!$K$2:$K$6292,A53)</f>
        <v/>
      </c>
      <c r="G53" s="17">
        <f>SUMIFS('Cable Schedule'!$W$2:$W$6292,'Cable Schedule'!$K$2:$K$6292,A53)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Schedule'!$AA$2:$AA$6292,'Cable Schedule'!$K$2:$K$6292,A54)</f>
        <v/>
      </c>
      <c r="G54" s="17">
        <f>SUMIFS('Cable Schedule'!$W$2:$W$6292,'Cable Schedule'!$K$2:$K$6292,A54)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Schedule'!$AA$2:$AA$6292,'Cable Schedule'!$K$2:$K$6292,A55)</f>
        <v/>
      </c>
      <c r="G55" s="17">
        <f>SUMIFS('Cable Schedule'!$W$2:$W$6292,'Cable Schedule'!$K$2:$K$6292,A55)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Schedule'!$AA$2:$AA$6292,'Cable Schedule'!$K$2:$K$6292,A56)</f>
        <v/>
      </c>
      <c r="G56" s="17">
        <f>SUMIFS('Cable Schedule'!$W$2:$W$6292,'Cable Schedule'!$K$2:$K$6292,A56)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Schedule'!$AA$2:$AA$6292,'Cable Schedule'!$K$2:$K$6292,A57)</f>
        <v/>
      </c>
      <c r="G57" s="17">
        <f>SUMIFS('Cable Schedule'!$W$2:$W$6292,'Cable Schedule'!$K$2:$K$6292,A57)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Schedule'!$AA$2:$AA$6292,'Cable Schedule'!$K$2:$K$6292,A58)</f>
        <v/>
      </c>
      <c r="G58" s="17">
        <f>SUMIFS('Cable Schedule'!$W$2:$W$6292,'Cable Schedule'!$K$2:$K$6292,A58)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Schedule'!$AA$2:$AA$6292,'Cable Schedule'!$K$2:$K$6292,A59)</f>
        <v/>
      </c>
      <c r="G59" s="17">
        <f>SUMIFS('Cable Schedule'!$W$2:$W$6292,'Cable Schedule'!$K$2:$K$6292,A59)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Schedule'!$AA$2:$AA$6292,'Cable Schedule'!$K$2:$K$6292,A60)</f>
        <v/>
      </c>
      <c r="G60" s="17">
        <f>SUMIFS('Cable Schedule'!$W$2:$W$6292,'Cable Schedule'!$K$2:$K$6292,A60)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Schedule'!$AA$2:$AA$6292,'Cable Schedule'!$K$2:$K$6292,A61)</f>
        <v/>
      </c>
      <c r="G61" s="17">
        <f>SUMIFS('Cable Schedule'!$W$2:$W$6292,'Cable Schedule'!$K$2:$K$6292,A61)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Schedule'!$AA$2:$AA$6292,'Cable Schedule'!$K$2:$K$6292,A62)</f>
        <v/>
      </c>
      <c r="G62" s="17">
        <f>SUMIFS('Cable Schedule'!$W$2:$W$6292,'Cable Schedule'!$K$2:$K$6292,A62)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Schedule'!$AA$2:$AA$6292,'Cable Schedule'!$K$2:$K$6292,A63)</f>
        <v/>
      </c>
      <c r="G63" s="17">
        <f>SUMIFS('Cable Schedule'!$W$2:$W$6292,'Cable Schedule'!$K$2:$K$6292,A63)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Schedule'!$AA$2:$AA$6292,'Cable Schedule'!$K$2:$K$6292,A64)</f>
        <v/>
      </c>
      <c r="G64" s="17">
        <f>SUMIFS('Cable Schedule'!$W$2:$W$6292,'Cable Schedule'!$K$2:$K$6292,A64)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Schedule'!$AA$2:$AA$6292,'Cable Schedule'!$K$2:$K$6292,A65)</f>
        <v/>
      </c>
      <c r="G65" s="17">
        <f>SUMIFS('Cable Schedule'!$W$2:$W$6292,'Cable Schedule'!$K$2:$K$6292,A65)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Schedule'!$AA$2:$AA$6292,'Cable Schedule'!$K$2:$K$6292,A66)</f>
        <v/>
      </c>
      <c r="G66" s="17">
        <f>SUMIFS('Cable Schedule'!$W$2:$W$6292,'Cable Schedule'!$K$2:$K$6292,A66)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Schedule'!$AA$2:$AA$6292,'Cable Schedule'!$K$2:$K$6292,A67)</f>
        <v/>
      </c>
      <c r="G67" s="17">
        <f>SUMIFS('Cable Schedule'!$W$2:$W$6292,'Cable Schedule'!$K$2:$K$6292,A67)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Schedule'!$AA$2:$AA$6292,'Cable Schedule'!$K$2:$K$6292,A68)</f>
        <v/>
      </c>
      <c r="G68" s="17">
        <f>SUMIFS('Cable Schedule'!$W$2:$W$6292,'Cable Schedule'!$K$2:$K$6292,A68)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Schedule'!$AA$2:$AA$6292,'Cable Schedule'!$K$2:$K$6292,A69)</f>
        <v/>
      </c>
      <c r="G69" s="17">
        <f>SUMIFS('Cable Schedule'!$W$2:$W$6292,'Cable Schedule'!$K$2:$K$6292,A69)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Schedule'!$AA$2:$AA$6292,'Cable Schedule'!$K$2:$K$6292,A70)</f>
        <v/>
      </c>
      <c r="G70" s="17">
        <f>SUMIFS('Cable Schedule'!$W$2:$W$6292,'Cable Schedule'!$K$2:$K$6292,A70)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Schedule'!$AA$2:$AA$6292,'Cable Schedule'!$K$2:$K$6292,A71)</f>
        <v/>
      </c>
      <c r="G71" s="17">
        <f>SUMIFS('Cable Schedule'!$W$2:$W$6292,'Cable Schedule'!$K$2:$K$6292,A71)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Schedule'!$AA$2:$AA$6292,'Cable Schedule'!$K$2:$K$6292,A72)</f>
        <v/>
      </c>
      <c r="G72" s="17">
        <f>SUMIFS('Cable Schedule'!$W$2:$W$6292,'Cable Schedule'!$K$2:$K$6292,A72)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Schedule'!$AA$2:$AA$6292,'Cable Schedule'!$K$2:$K$6292,A73)</f>
        <v/>
      </c>
      <c r="G73" s="17">
        <f>SUMIFS('Cable Schedule'!$W$2:$W$6292,'Cable Schedule'!$K$2:$K$6292,A73)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Schedule'!$AA$2:$AA$6292,'Cable Schedule'!$K$2:$K$6292,A74)</f>
        <v/>
      </c>
      <c r="G74" s="17">
        <f>SUMIFS('Cable Schedule'!$W$2:$W$6292,'Cable Schedule'!$K$2:$K$6292,A74)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Schedule'!$AA$2:$AA$6292,'Cable Schedule'!$K$2:$K$6292,A75)</f>
        <v/>
      </c>
      <c r="G75" s="17">
        <f>SUMIFS('Cable Schedule'!$W$2:$W$6292,'Cable Schedule'!$K$2:$K$6292,A75)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Schedule'!$AA$2:$AA$6292,'Cable Schedule'!$K$2:$K$6292,A76)</f>
        <v/>
      </c>
      <c r="G76" s="17">
        <f>SUMIFS('Cable Schedule'!$W$2:$W$6292,'Cable Schedule'!$K$2:$K$6292,A76)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Schedule'!$AA$2:$AA$6292,'Cable Schedule'!$K$2:$K$6292,A77)</f>
        <v/>
      </c>
      <c r="G77" s="17">
        <f>SUMIFS('Cable Schedule'!$W$2:$W$6292,'Cable Schedule'!$K$2:$K$6292,A77)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Schedule'!$AA$2:$AA$6292,'Cable Schedule'!$K$2:$K$6292,A78)</f>
        <v/>
      </c>
      <c r="G78" s="17">
        <f>SUMIFS('Cable Schedule'!$W$2:$W$6292,'Cable Schedule'!$K$2:$K$6292,A78)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Schedule'!$AA$2:$AA$6292,'Cable Schedule'!$K$2:$K$6292,A79)</f>
        <v/>
      </c>
      <c r="G79" s="17">
        <f>SUMIFS('Cable Schedule'!$W$2:$W$6292,'Cable Schedule'!$K$2:$K$6292,A79)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Schedule'!$AA$2:$AA$6292,'Cable Schedule'!$K$2:$K$6292,A80)</f>
        <v/>
      </c>
      <c r="G80" s="17">
        <f>SUMIFS('Cable Schedule'!$W$2:$W$6292,'Cable Schedule'!$K$2:$K$6292,A80)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Schedule'!$AA$2:$AA$6292,'Cable Schedule'!$K$2:$K$6292,A81)</f>
        <v/>
      </c>
      <c r="G81" s="17">
        <f>SUMIFS('Cable Schedule'!$W$2:$W$6292,'Cable Schedule'!$K$2:$K$6292,A81)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Schedule'!$AA$2:$AA$6292,'Cable Schedule'!$K$2:$K$6292,A82)</f>
        <v/>
      </c>
      <c r="G82" s="17">
        <f>SUMIFS('Cable Schedule'!$W$2:$W$6292,'Cable Schedule'!$K$2:$K$6292,A82)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Schedule'!$AA$2:$AA$6292,'Cable Schedule'!$K$2:$K$6292,A83)</f>
        <v/>
      </c>
      <c r="G83" s="17">
        <f>SUMIFS('Cable Schedule'!$W$2:$W$6292,'Cable Schedule'!$K$2:$K$6292,A83)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Schedule'!$AA$2:$AA$6292,'Cable Schedule'!$K$2:$K$6292,A84)</f>
        <v/>
      </c>
      <c r="G84" s="17">
        <f>SUMIFS('Cable Schedule'!$W$2:$W$6292,'Cable Schedule'!$K$2:$K$6292,A84)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Schedule'!$AA$2:$AA$6292,'Cable Schedule'!$K$2:$K$6292,A85)</f>
        <v/>
      </c>
      <c r="G85" s="17">
        <f>SUMIFS('Cable Schedule'!$W$2:$W$6292,'Cable Schedule'!$K$2:$K$6292,A85)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Schedule'!$AA$2:$AA$6292,'Cable Schedule'!$K$2:$K$6292,A86)</f>
        <v/>
      </c>
      <c r="G86" s="17">
        <f>SUMIFS('Cable Schedule'!$W$2:$W$6292,'Cable Schedule'!$K$2:$K$6292,A86)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Schedule'!$AA$2:$AA$6292,'Cable Schedule'!$K$2:$K$6292,A87)</f>
        <v/>
      </c>
      <c r="G87" s="17">
        <f>SUMIFS('Cable Schedule'!$W$2:$W$6292,'Cable Schedule'!$K$2:$K$6292,A87)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Schedule'!$AA$2:$AA$6292,'Cable Schedule'!$K$2:$K$6292,A88)</f>
        <v/>
      </c>
      <c r="G88" s="17">
        <f>SUMIFS('Cable Schedule'!$W$2:$W$6292,'Cable Schedule'!$K$2:$K$6292,A88)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Schedule'!$AA$2:$AA$6292,'Cable Schedule'!$K$2:$K$6292,A89)</f>
        <v/>
      </c>
      <c r="G89" s="17">
        <f>SUMIFS('Cable Schedule'!$W$2:$W$6292,'Cable Schedule'!$K$2:$K$6292,A89)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Schedule'!$AA$2:$AA$6292,'Cable Schedule'!$K$2:$K$6292,A90)</f>
        <v/>
      </c>
      <c r="G90" s="17">
        <f>SUMIFS('Cable Schedule'!$W$2:$W$6292,'Cable Schedule'!$K$2:$K$6292,A90)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Schedule'!$AA$2:$AA$6292,'Cable Schedule'!$K$2:$K$6292,A91)</f>
        <v/>
      </c>
      <c r="G91" s="17">
        <f>SUMIFS('Cable Schedule'!$W$2:$W$6292,'Cable Schedule'!$K$2:$K$6292,A91)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Schedule'!$AA$2:$AA$6292,'Cable Schedule'!$K$2:$K$6292,A92)</f>
        <v/>
      </c>
      <c r="G92" s="17">
        <f>SUMIFS('Cable Schedule'!$W$2:$W$6292,'Cable Schedule'!$K$2:$K$6292,A92)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Schedule'!$AA$2:$AA$6292,'Cable Schedule'!$K$2:$K$6292,A93)</f>
        <v/>
      </c>
      <c r="G93" s="17">
        <f>SUMIFS('Cable Schedule'!$W$2:$W$6292,'Cable Schedule'!$K$2:$K$6292,A93)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Schedule'!$AA$2:$AA$6292,'Cable Schedule'!$K$2:$K$6292,A94)</f>
        <v/>
      </c>
      <c r="G94" s="17">
        <f>SUMIFS('Cable Schedule'!$W$2:$W$6292,'Cable Schedule'!$K$2:$K$6292,A94)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Schedule'!$AA$2:$AA$6292,'Cable Schedule'!$K$2:$K$6292,A95)</f>
        <v/>
      </c>
      <c r="G95" s="17">
        <f>SUMIFS('Cable Schedule'!$W$2:$W$6292,'Cable Schedule'!$K$2:$K$6292,A95)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Schedule'!$AA$2:$AA$6292,'Cable Schedule'!$K$2:$K$6292,A96)</f>
        <v/>
      </c>
      <c r="G96" s="17">
        <f>SUMIFS('Cable Schedule'!$W$2:$W$6292,'Cable Schedule'!$K$2:$K$6292,A96)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Schedule'!$AA$2:$AA$6292,'Cable Schedule'!$K$2:$K$6292,A97)</f>
        <v/>
      </c>
      <c r="G97" s="17">
        <f>SUMIFS('Cable Schedule'!$W$2:$W$6292,'Cable Schedule'!$K$2:$K$6292,A97)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Schedule'!$AA$2:$AA$6292,'Cable Schedule'!$K$2:$K$6292,A98)</f>
        <v/>
      </c>
      <c r="G98" s="17">
        <f>SUMIFS('Cable Schedule'!$W$2:$W$6292,'Cable Schedule'!$K$2:$K$6292,A98)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Schedule'!$AA$2:$AA$6292,'Cable Schedule'!$K$2:$K$6292,A99)</f>
        <v/>
      </c>
      <c r="G99" s="17">
        <f>SUMIFS('Cable Schedule'!$W$2:$W$6292,'Cable Schedule'!$K$2:$K$6292,A99)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Schedule'!$AA$2:$AA$6292,'Cable Schedule'!$K$2:$K$6292,A100)</f>
        <v/>
      </c>
      <c r="G100" s="17">
        <f>SUMIFS('Cable Schedule'!$W$2:$W$6292,'Cable Schedule'!$K$2:$K$6292,A100)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Schedule'!X2:X6292)</f>
        <v/>
      </c>
    </row>
    <row r="3">
      <c r="A3" s="12" t="inlineStr">
        <is>
          <t>ARMOR-X / Type W connectors and glands</t>
        </is>
      </c>
      <c r="B3" s="17">
        <f>SUM('Cable Schedule'!Y2:Y6292)</f>
        <v/>
      </c>
    </row>
    <row r="4">
      <c r="A4" s="12" t="inlineStr">
        <is>
          <t>MV splice kits (allowance: 1 per 2,500 ft of MV 1/C)</t>
        </is>
      </c>
      <c r="B4" s="17">
        <f>ROUNDUP(SUMIFS('Cable Schedule'!W2:W6292,'Cable Schedule'!I2:I6292,"MV*",'Cable Schedule'!L2:L6292,"1/C")/2500,0)</f>
        <v/>
      </c>
    </row>
    <row r="5">
      <c r="A5" s="12" t="inlineStr">
        <is>
          <t>230 kV outdoor terminations</t>
        </is>
      </c>
      <c r="B5" s="17">
        <f>2*SUMIFS('Cable Schedule'!O2:O6292,'Cable Schedule'!I2:I6292,"HV 230 kV")</f>
        <v/>
      </c>
    </row>
    <row r="6">
      <c r="A6" s="12" t="inlineStr">
        <is>
          <t>600 V compression lugs (power, 4 per end)</t>
        </is>
      </c>
      <c r="B6" s="17">
        <f>2*4*SUMIFS('Cable Schedule'!N2:N6292,'Cable Schedule'!I2:I6292,"LV 600 V")</f>
        <v/>
      </c>
    </row>
    <row r="7">
      <c r="A7" s="12" t="inlineStr">
        <is>
          <t>Instrument / control cable glands (2 per run)</t>
        </is>
      </c>
      <c r="B7" s="17">
        <f>2*(COUNTIF('Cable Schedule'!I2:I6292,"Control")+COUNTIF('Cable Schedule'!I2:I6292,"Instrumentation"))</f>
        <v/>
      </c>
    </row>
    <row r="8">
      <c r="A8" s="12" t="inlineStr">
        <is>
          <t>Fibre patch / termination (2 per link)</t>
        </is>
      </c>
      <c r="B8" s="17">
        <f>2*COUNTIF('Cable Schedule'!I2:I6292,"Fibre / data")</f>
        <v/>
      </c>
    </row>
    <row r="9">
      <c r="A9" s="12" t="inlineStr">
        <is>
          <t>Ground connections: exothermic welds (allowance 1 per 25 ft of grid)</t>
        </is>
      </c>
      <c r="B9" s="17">
        <f>ROUNDUP(SUMIFS('Cable Schedule'!W2:W6292,'Cable Schedule'!I2:I6292,"Grounding")/25,0)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Schedule'!$W$2:$W$6292,'Cable Schedule'!$B$2:$B$6292,"A",'Cable Schedule'!$I$2:$I$6292,"MV 15 kV")</f>
        <v/>
      </c>
      <c r="C3" s="17">
        <f>SUMIFS('Cable Schedule'!$W$2:$W$6292,'Cable Schedule'!$B$2:$B$6292,"A",'Cable Schedule'!$I$2:$I$6292,"MV 5 kV")</f>
        <v/>
      </c>
      <c r="D3" s="17">
        <f>SUMIFS('Cable Schedule'!$W$2:$W$6292,'Cable Schedule'!$B$2:$B$6292,"A",'Cable Schedule'!$I$2:$I$6292,"MV 25 kV")</f>
        <v/>
      </c>
      <c r="E3" s="17">
        <f>SUMIFS('Cable Schedule'!$W$2:$W$6292,'Cable Schedule'!$B$2:$B$6292,"A",'Cable Schedule'!$I$2:$I$6292,"MV 35 kV")</f>
        <v/>
      </c>
      <c r="F3" s="17">
        <f>SUMIFS('Cable Schedule'!$W$2:$W$6292,'Cable Schedule'!$B$2:$B$6292,"A",'Cable Schedule'!$I$2:$I$6292,"HV 230 kV")</f>
        <v/>
      </c>
      <c r="G3" s="17">
        <f>SUMIFS('Cable Schedule'!$W$2:$W$6292,'Cable Schedule'!$B$2:$B$6292,"A",'Cable Schedule'!$I$2:$I$6292,"LV 600 V")</f>
        <v/>
      </c>
      <c r="H3" s="17">
        <f>SUMIFS('Cable Schedule'!$W$2:$W$6292,'Cable Schedule'!$B$2:$B$6292,"A",'Cable Schedule'!$I$2:$I$6292,"Control")</f>
        <v/>
      </c>
      <c r="I3" s="17">
        <f>SUMIFS('Cable Schedule'!$W$2:$W$6292,'Cable Schedule'!$B$2:$B$6292,"A",'Cable Schedule'!$I$2:$I$6292,"Instrumentation")</f>
        <v/>
      </c>
      <c r="J3" s="17">
        <f>SUMIFS('Cable Schedule'!$W$2:$W$6292,'Cable Schedule'!$B$2:$B$6292,"A",'Cable Schedule'!$I$2:$I$6292,"Fire alarm")</f>
        <v/>
      </c>
      <c r="K3" s="17">
        <f>SUMIFS('Cable Schedule'!$W$2:$W$6292,'Cable Schedule'!$B$2:$B$6292,"A",'Cable Schedule'!$I$2:$I$6292,"Fibre / data")</f>
        <v/>
      </c>
      <c r="L3" s="17">
        <f>SUMIFS('Cable Schedule'!$W$2:$W$6292,'Cable Schedule'!$B$2:$B$6292,"A",'Cable Schedule'!$I$2:$I$6292,"DC 2 kV")</f>
        <v/>
      </c>
      <c r="M3" s="17">
        <f>SUMIFS('Cable Schedule'!$W$2:$W$6292,'Cable Schedule'!$B$2:$B$6292,"A",'Cable Schedule'!$I$2:$I$6292,"Portable MV")</f>
        <v/>
      </c>
      <c r="N3" s="17">
        <f>SUMIFS('Cable Schedule'!$W$2:$W$6292,'Cable Schedule'!$B$2:$B$6292,"A",'Cable Schedule'!$I$2:$I$6292,"Portable LV")</f>
        <v/>
      </c>
      <c r="O3" s="17">
        <f>SUMIFS('Cable Schedule'!$W$2:$W$6292,'Cable Schedule'!$B$2:$B$6292,"A",'Cable Schedule'!$I$2:$I$6292,"Building wire")</f>
        <v/>
      </c>
      <c r="P3" s="17">
        <f>SUMIFS('Cable Schedule'!$W$2:$W$6292,'Cable Schedule'!$B$2:$B$6292,"A",'Cable Schedule'!$I$2:$I$6292,"Grounding")</f>
        <v/>
      </c>
      <c r="Q3" s="17">
        <f>SUMIFS('Cable Schedule'!$W$2:$W$6292,'Cable Schedule'!$B$2:$B$6292,"A",'Cable Schedule'!$I$2:$I$6292,"Overhead")</f>
        <v/>
      </c>
      <c r="R3" s="27">
        <f>SUM(B3:Q3)</f>
        <v/>
      </c>
    </row>
    <row r="4">
      <c r="A4" s="12" t="inlineStr">
        <is>
          <t>B  ACC</t>
        </is>
      </c>
      <c r="B4" s="17">
        <f>SUMIFS('Cable Schedule'!$W$2:$W$6292,'Cable Schedule'!$B$2:$B$6292,"B",'Cable Schedule'!$I$2:$I$6292,"MV 15 kV")</f>
        <v/>
      </c>
      <c r="C4" s="17">
        <f>SUMIFS('Cable Schedule'!$W$2:$W$6292,'Cable Schedule'!$B$2:$B$6292,"B",'Cable Schedule'!$I$2:$I$6292,"MV 5 kV")</f>
        <v/>
      </c>
      <c r="D4" s="17">
        <f>SUMIFS('Cable Schedule'!$W$2:$W$6292,'Cable Schedule'!$B$2:$B$6292,"B",'Cable Schedule'!$I$2:$I$6292,"MV 25 kV")</f>
        <v/>
      </c>
      <c r="E4" s="17">
        <f>SUMIFS('Cable Schedule'!$W$2:$W$6292,'Cable Schedule'!$B$2:$B$6292,"B",'Cable Schedule'!$I$2:$I$6292,"MV 35 kV")</f>
        <v/>
      </c>
      <c r="F4" s="17">
        <f>SUMIFS('Cable Schedule'!$W$2:$W$6292,'Cable Schedule'!$B$2:$B$6292,"B",'Cable Schedule'!$I$2:$I$6292,"HV 230 kV")</f>
        <v/>
      </c>
      <c r="G4" s="17">
        <f>SUMIFS('Cable Schedule'!$W$2:$W$6292,'Cable Schedule'!$B$2:$B$6292,"B",'Cable Schedule'!$I$2:$I$6292,"LV 600 V")</f>
        <v/>
      </c>
      <c r="H4" s="17">
        <f>SUMIFS('Cable Schedule'!$W$2:$W$6292,'Cable Schedule'!$B$2:$B$6292,"B",'Cable Schedule'!$I$2:$I$6292,"Control")</f>
        <v/>
      </c>
      <c r="I4" s="17">
        <f>SUMIFS('Cable Schedule'!$W$2:$W$6292,'Cable Schedule'!$B$2:$B$6292,"B",'Cable Schedule'!$I$2:$I$6292,"Instrumentation")</f>
        <v/>
      </c>
      <c r="J4" s="17">
        <f>SUMIFS('Cable Schedule'!$W$2:$W$6292,'Cable Schedule'!$B$2:$B$6292,"B",'Cable Schedule'!$I$2:$I$6292,"Fire alarm")</f>
        <v/>
      </c>
      <c r="K4" s="17">
        <f>SUMIFS('Cable Schedule'!$W$2:$W$6292,'Cable Schedule'!$B$2:$B$6292,"B",'Cable Schedule'!$I$2:$I$6292,"Fibre / data")</f>
        <v/>
      </c>
      <c r="L4" s="17">
        <f>SUMIFS('Cable Schedule'!$W$2:$W$6292,'Cable Schedule'!$B$2:$B$6292,"B",'Cable Schedule'!$I$2:$I$6292,"DC 2 kV")</f>
        <v/>
      </c>
      <c r="M4" s="17">
        <f>SUMIFS('Cable Schedule'!$W$2:$W$6292,'Cable Schedule'!$B$2:$B$6292,"B",'Cable Schedule'!$I$2:$I$6292,"Portable MV")</f>
        <v/>
      </c>
      <c r="N4" s="17">
        <f>SUMIFS('Cable Schedule'!$W$2:$W$6292,'Cable Schedule'!$B$2:$B$6292,"B",'Cable Schedule'!$I$2:$I$6292,"Portable LV")</f>
        <v/>
      </c>
      <c r="O4" s="17">
        <f>SUMIFS('Cable Schedule'!$W$2:$W$6292,'Cable Schedule'!$B$2:$B$6292,"B",'Cable Schedule'!$I$2:$I$6292,"Building wire")</f>
        <v/>
      </c>
      <c r="P4" s="17">
        <f>SUMIFS('Cable Schedule'!$W$2:$W$6292,'Cable Schedule'!$B$2:$B$6292,"B",'Cable Schedule'!$I$2:$I$6292,"Grounding")</f>
        <v/>
      </c>
      <c r="Q4" s="17">
        <f>SUMIFS('Cable Schedule'!$W$2:$W$6292,'Cable Schedule'!$B$2:$B$6292,"B",'Cable Schedule'!$I$2:$I$6292,"Overhead")</f>
        <v/>
      </c>
      <c r="R4" s="27">
        <f>SUM(B4:Q4)</f>
        <v/>
      </c>
    </row>
    <row r="5">
      <c r="A5" s="12" t="inlineStr">
        <is>
          <t>C  Grid interface</t>
        </is>
      </c>
      <c r="B5" s="17">
        <f>SUMIFS('Cable Schedule'!$W$2:$W$6292,'Cable Schedule'!$B$2:$B$6292,"C",'Cable Schedule'!$I$2:$I$6292,"MV 15 kV")</f>
        <v/>
      </c>
      <c r="C5" s="17">
        <f>SUMIFS('Cable Schedule'!$W$2:$W$6292,'Cable Schedule'!$B$2:$B$6292,"C",'Cable Schedule'!$I$2:$I$6292,"MV 5 kV")</f>
        <v/>
      </c>
      <c r="D5" s="17">
        <f>SUMIFS('Cable Schedule'!$W$2:$W$6292,'Cable Schedule'!$B$2:$B$6292,"C",'Cable Schedule'!$I$2:$I$6292,"MV 25 kV")</f>
        <v/>
      </c>
      <c r="E5" s="17">
        <f>SUMIFS('Cable Schedule'!$W$2:$W$6292,'Cable Schedule'!$B$2:$B$6292,"C",'Cable Schedule'!$I$2:$I$6292,"MV 35 kV")</f>
        <v/>
      </c>
      <c r="F5" s="17">
        <f>SUMIFS('Cable Schedule'!$W$2:$W$6292,'Cable Schedule'!$B$2:$B$6292,"C",'Cable Schedule'!$I$2:$I$6292,"HV 230 kV")</f>
        <v/>
      </c>
      <c r="G5" s="17">
        <f>SUMIFS('Cable Schedule'!$W$2:$W$6292,'Cable Schedule'!$B$2:$B$6292,"C",'Cable Schedule'!$I$2:$I$6292,"LV 600 V")</f>
        <v/>
      </c>
      <c r="H5" s="17">
        <f>SUMIFS('Cable Schedule'!$W$2:$W$6292,'Cable Schedule'!$B$2:$B$6292,"C",'Cable Schedule'!$I$2:$I$6292,"Control")</f>
        <v/>
      </c>
      <c r="I5" s="17">
        <f>SUMIFS('Cable Schedule'!$W$2:$W$6292,'Cable Schedule'!$B$2:$B$6292,"C",'Cable Schedule'!$I$2:$I$6292,"Instrumentation")</f>
        <v/>
      </c>
      <c r="J5" s="17">
        <f>SUMIFS('Cable Schedule'!$W$2:$W$6292,'Cable Schedule'!$B$2:$B$6292,"C",'Cable Schedule'!$I$2:$I$6292,"Fire alarm")</f>
        <v/>
      </c>
      <c r="K5" s="17">
        <f>SUMIFS('Cable Schedule'!$W$2:$W$6292,'Cable Schedule'!$B$2:$B$6292,"C",'Cable Schedule'!$I$2:$I$6292,"Fibre / data")</f>
        <v/>
      </c>
      <c r="L5" s="17">
        <f>SUMIFS('Cable Schedule'!$W$2:$W$6292,'Cable Schedule'!$B$2:$B$6292,"C",'Cable Schedule'!$I$2:$I$6292,"DC 2 kV")</f>
        <v/>
      </c>
      <c r="M5" s="17">
        <f>SUMIFS('Cable Schedule'!$W$2:$W$6292,'Cable Schedule'!$B$2:$B$6292,"C",'Cable Schedule'!$I$2:$I$6292,"Portable MV")</f>
        <v/>
      </c>
      <c r="N5" s="17">
        <f>SUMIFS('Cable Schedule'!$W$2:$W$6292,'Cable Schedule'!$B$2:$B$6292,"C",'Cable Schedule'!$I$2:$I$6292,"Portable LV")</f>
        <v/>
      </c>
      <c r="O5" s="17">
        <f>SUMIFS('Cable Schedule'!$W$2:$W$6292,'Cable Schedule'!$B$2:$B$6292,"C",'Cable Schedule'!$I$2:$I$6292,"Building wire")</f>
        <v/>
      </c>
      <c r="P5" s="17">
        <f>SUMIFS('Cable Schedule'!$W$2:$W$6292,'Cable Schedule'!$B$2:$B$6292,"C",'Cable Schedule'!$I$2:$I$6292,"Grounding")</f>
        <v/>
      </c>
      <c r="Q5" s="17">
        <f>SUMIFS('Cable Schedule'!$W$2:$W$6292,'Cable Schedule'!$B$2:$B$6292,"C",'Cable Schedule'!$I$2:$I$6292,"Overhead")</f>
        <v/>
      </c>
      <c r="R5" s="27">
        <f>SUM(B5:Q5)</f>
        <v/>
      </c>
    </row>
    <row r="6">
      <c r="A6" s="12" t="inlineStr">
        <is>
          <t>D  Fuel gas</t>
        </is>
      </c>
      <c r="B6" s="17">
        <f>SUMIFS('Cable Schedule'!$W$2:$W$6292,'Cable Schedule'!$B$2:$B$6292,"D",'Cable Schedule'!$I$2:$I$6292,"MV 15 kV")</f>
        <v/>
      </c>
      <c r="C6" s="17">
        <f>SUMIFS('Cable Schedule'!$W$2:$W$6292,'Cable Schedule'!$B$2:$B$6292,"D",'Cable Schedule'!$I$2:$I$6292,"MV 5 kV")</f>
        <v/>
      </c>
      <c r="D6" s="17">
        <f>SUMIFS('Cable Schedule'!$W$2:$W$6292,'Cable Schedule'!$B$2:$B$6292,"D",'Cable Schedule'!$I$2:$I$6292,"MV 25 kV")</f>
        <v/>
      </c>
      <c r="E6" s="17">
        <f>SUMIFS('Cable Schedule'!$W$2:$W$6292,'Cable Schedule'!$B$2:$B$6292,"D",'Cable Schedule'!$I$2:$I$6292,"MV 35 kV")</f>
        <v/>
      </c>
      <c r="F6" s="17">
        <f>SUMIFS('Cable Schedule'!$W$2:$W$6292,'Cable Schedule'!$B$2:$B$6292,"D",'Cable Schedule'!$I$2:$I$6292,"HV 230 kV")</f>
        <v/>
      </c>
      <c r="G6" s="17">
        <f>SUMIFS('Cable Schedule'!$W$2:$W$6292,'Cable Schedule'!$B$2:$B$6292,"D",'Cable Schedule'!$I$2:$I$6292,"LV 600 V")</f>
        <v/>
      </c>
      <c r="H6" s="17">
        <f>SUMIFS('Cable Schedule'!$W$2:$W$6292,'Cable Schedule'!$B$2:$B$6292,"D",'Cable Schedule'!$I$2:$I$6292,"Control")</f>
        <v/>
      </c>
      <c r="I6" s="17">
        <f>SUMIFS('Cable Schedule'!$W$2:$W$6292,'Cable Schedule'!$B$2:$B$6292,"D",'Cable Schedule'!$I$2:$I$6292,"Instrumentation")</f>
        <v/>
      </c>
      <c r="J6" s="17">
        <f>SUMIFS('Cable Schedule'!$W$2:$W$6292,'Cable Schedule'!$B$2:$B$6292,"D",'Cable Schedule'!$I$2:$I$6292,"Fire alarm")</f>
        <v/>
      </c>
      <c r="K6" s="17">
        <f>SUMIFS('Cable Schedule'!$W$2:$W$6292,'Cable Schedule'!$B$2:$B$6292,"D",'Cable Schedule'!$I$2:$I$6292,"Fibre / data")</f>
        <v/>
      </c>
      <c r="L6" s="17">
        <f>SUMIFS('Cable Schedule'!$W$2:$W$6292,'Cable Schedule'!$B$2:$B$6292,"D",'Cable Schedule'!$I$2:$I$6292,"DC 2 kV")</f>
        <v/>
      </c>
      <c r="M6" s="17">
        <f>SUMIFS('Cable Schedule'!$W$2:$W$6292,'Cable Schedule'!$B$2:$B$6292,"D",'Cable Schedule'!$I$2:$I$6292,"Portable MV")</f>
        <v/>
      </c>
      <c r="N6" s="17">
        <f>SUMIFS('Cable Schedule'!$W$2:$W$6292,'Cable Schedule'!$B$2:$B$6292,"D",'Cable Schedule'!$I$2:$I$6292,"Portable LV")</f>
        <v/>
      </c>
      <c r="O6" s="17">
        <f>SUMIFS('Cable Schedule'!$W$2:$W$6292,'Cable Schedule'!$B$2:$B$6292,"D",'Cable Schedule'!$I$2:$I$6292,"Building wire")</f>
        <v/>
      </c>
      <c r="P6" s="17">
        <f>SUMIFS('Cable Schedule'!$W$2:$W$6292,'Cable Schedule'!$B$2:$B$6292,"D",'Cable Schedule'!$I$2:$I$6292,"Grounding")</f>
        <v/>
      </c>
      <c r="Q6" s="17">
        <f>SUMIFS('Cable Schedule'!$W$2:$W$6292,'Cable Schedule'!$B$2:$B$6292,"D",'Cable Schedule'!$I$2:$I$6292,"Overhead")</f>
        <v/>
      </c>
      <c r="R6" s="27">
        <f>SUM(B6:Q6)</f>
        <v/>
      </c>
    </row>
    <row r="7">
      <c r="A7" s="12" t="inlineStr">
        <is>
          <t>E  Water / utilities</t>
        </is>
      </c>
      <c r="B7" s="17">
        <f>SUMIFS('Cable Schedule'!$W$2:$W$6292,'Cable Schedule'!$B$2:$B$6292,"E",'Cable Schedule'!$I$2:$I$6292,"MV 15 kV")</f>
        <v/>
      </c>
      <c r="C7" s="17">
        <f>SUMIFS('Cable Schedule'!$W$2:$W$6292,'Cable Schedule'!$B$2:$B$6292,"E",'Cable Schedule'!$I$2:$I$6292,"MV 5 kV")</f>
        <v/>
      </c>
      <c r="D7" s="17">
        <f>SUMIFS('Cable Schedule'!$W$2:$W$6292,'Cable Schedule'!$B$2:$B$6292,"E",'Cable Schedule'!$I$2:$I$6292,"MV 25 kV")</f>
        <v/>
      </c>
      <c r="E7" s="17">
        <f>SUMIFS('Cable Schedule'!$W$2:$W$6292,'Cable Schedule'!$B$2:$B$6292,"E",'Cable Schedule'!$I$2:$I$6292,"MV 35 kV")</f>
        <v/>
      </c>
      <c r="F7" s="17">
        <f>SUMIFS('Cable Schedule'!$W$2:$W$6292,'Cable Schedule'!$B$2:$B$6292,"E",'Cable Schedule'!$I$2:$I$6292,"HV 230 kV")</f>
        <v/>
      </c>
      <c r="G7" s="17">
        <f>SUMIFS('Cable Schedule'!$W$2:$W$6292,'Cable Schedule'!$B$2:$B$6292,"E",'Cable Schedule'!$I$2:$I$6292,"LV 600 V")</f>
        <v/>
      </c>
      <c r="H7" s="17">
        <f>SUMIFS('Cable Schedule'!$W$2:$W$6292,'Cable Schedule'!$B$2:$B$6292,"E",'Cable Schedule'!$I$2:$I$6292,"Control")</f>
        <v/>
      </c>
      <c r="I7" s="17">
        <f>SUMIFS('Cable Schedule'!$W$2:$W$6292,'Cable Schedule'!$B$2:$B$6292,"E",'Cable Schedule'!$I$2:$I$6292,"Instrumentation")</f>
        <v/>
      </c>
      <c r="J7" s="17">
        <f>SUMIFS('Cable Schedule'!$W$2:$W$6292,'Cable Schedule'!$B$2:$B$6292,"E",'Cable Schedule'!$I$2:$I$6292,"Fire alarm")</f>
        <v/>
      </c>
      <c r="K7" s="17">
        <f>SUMIFS('Cable Schedule'!$W$2:$W$6292,'Cable Schedule'!$B$2:$B$6292,"E",'Cable Schedule'!$I$2:$I$6292,"Fibre / data")</f>
        <v/>
      </c>
      <c r="L7" s="17">
        <f>SUMIFS('Cable Schedule'!$W$2:$W$6292,'Cable Schedule'!$B$2:$B$6292,"E",'Cable Schedule'!$I$2:$I$6292,"DC 2 kV")</f>
        <v/>
      </c>
      <c r="M7" s="17">
        <f>SUMIFS('Cable Schedule'!$W$2:$W$6292,'Cable Schedule'!$B$2:$B$6292,"E",'Cable Schedule'!$I$2:$I$6292,"Portable MV")</f>
        <v/>
      </c>
      <c r="N7" s="17">
        <f>SUMIFS('Cable Schedule'!$W$2:$W$6292,'Cable Schedule'!$B$2:$B$6292,"E",'Cable Schedule'!$I$2:$I$6292,"Portable LV")</f>
        <v/>
      </c>
      <c r="O7" s="17">
        <f>SUMIFS('Cable Schedule'!$W$2:$W$6292,'Cable Schedule'!$B$2:$B$6292,"E",'Cable Schedule'!$I$2:$I$6292,"Building wire")</f>
        <v/>
      </c>
      <c r="P7" s="17">
        <f>SUMIFS('Cable Schedule'!$W$2:$W$6292,'Cable Schedule'!$B$2:$B$6292,"E",'Cable Schedule'!$I$2:$I$6292,"Grounding")</f>
        <v/>
      </c>
      <c r="Q7" s="17">
        <f>SUMIFS('Cable Schedule'!$W$2:$W$6292,'Cable Schedule'!$B$2:$B$6292,"E",'Cable Schedule'!$I$2:$I$6292,"Overhead")</f>
        <v/>
      </c>
      <c r="R7" s="27">
        <f>SUM(B7:Q7)</f>
        <v/>
      </c>
    </row>
    <row r="8">
      <c r="A8" s="12" t="inlineStr">
        <is>
          <t>F  Controls / service</t>
        </is>
      </c>
      <c r="B8" s="17">
        <f>SUMIFS('Cable Schedule'!$W$2:$W$6292,'Cable Schedule'!$B$2:$B$6292,"F",'Cable Schedule'!$I$2:$I$6292,"MV 15 kV")</f>
        <v/>
      </c>
      <c r="C8" s="17">
        <f>SUMIFS('Cable Schedule'!$W$2:$W$6292,'Cable Schedule'!$B$2:$B$6292,"F",'Cable Schedule'!$I$2:$I$6292,"MV 5 kV")</f>
        <v/>
      </c>
      <c r="D8" s="17">
        <f>SUMIFS('Cable Schedule'!$W$2:$W$6292,'Cable Schedule'!$B$2:$B$6292,"F",'Cable Schedule'!$I$2:$I$6292,"MV 25 kV")</f>
        <v/>
      </c>
      <c r="E8" s="17">
        <f>SUMIFS('Cable Schedule'!$W$2:$W$6292,'Cable Schedule'!$B$2:$B$6292,"F",'Cable Schedule'!$I$2:$I$6292,"MV 35 kV")</f>
        <v/>
      </c>
      <c r="F8" s="17">
        <f>SUMIFS('Cable Schedule'!$W$2:$W$6292,'Cable Schedule'!$B$2:$B$6292,"F",'Cable Schedule'!$I$2:$I$6292,"HV 230 kV")</f>
        <v/>
      </c>
      <c r="G8" s="17">
        <f>SUMIFS('Cable Schedule'!$W$2:$W$6292,'Cable Schedule'!$B$2:$B$6292,"F",'Cable Schedule'!$I$2:$I$6292,"LV 600 V")</f>
        <v/>
      </c>
      <c r="H8" s="17">
        <f>SUMIFS('Cable Schedule'!$W$2:$W$6292,'Cable Schedule'!$B$2:$B$6292,"F",'Cable Schedule'!$I$2:$I$6292,"Control")</f>
        <v/>
      </c>
      <c r="I8" s="17">
        <f>SUMIFS('Cable Schedule'!$W$2:$W$6292,'Cable Schedule'!$B$2:$B$6292,"F",'Cable Schedule'!$I$2:$I$6292,"Instrumentation")</f>
        <v/>
      </c>
      <c r="J8" s="17">
        <f>SUMIFS('Cable Schedule'!$W$2:$W$6292,'Cable Schedule'!$B$2:$B$6292,"F",'Cable Schedule'!$I$2:$I$6292,"Fire alarm")</f>
        <v/>
      </c>
      <c r="K8" s="17">
        <f>SUMIFS('Cable Schedule'!$W$2:$W$6292,'Cable Schedule'!$B$2:$B$6292,"F",'Cable Schedule'!$I$2:$I$6292,"Fibre / data")</f>
        <v/>
      </c>
      <c r="L8" s="17">
        <f>SUMIFS('Cable Schedule'!$W$2:$W$6292,'Cable Schedule'!$B$2:$B$6292,"F",'Cable Schedule'!$I$2:$I$6292,"DC 2 kV")</f>
        <v/>
      </c>
      <c r="M8" s="17">
        <f>SUMIFS('Cable Schedule'!$W$2:$W$6292,'Cable Schedule'!$B$2:$B$6292,"F",'Cable Schedule'!$I$2:$I$6292,"Portable MV")</f>
        <v/>
      </c>
      <c r="N8" s="17">
        <f>SUMIFS('Cable Schedule'!$W$2:$W$6292,'Cable Schedule'!$B$2:$B$6292,"F",'Cable Schedule'!$I$2:$I$6292,"Portable LV")</f>
        <v/>
      </c>
      <c r="O8" s="17">
        <f>SUMIFS('Cable Schedule'!$W$2:$W$6292,'Cable Schedule'!$B$2:$B$6292,"F",'Cable Schedule'!$I$2:$I$6292,"Building wire")</f>
        <v/>
      </c>
      <c r="P8" s="17">
        <f>SUMIFS('Cable Schedule'!$W$2:$W$6292,'Cable Schedule'!$B$2:$B$6292,"F",'Cable Schedule'!$I$2:$I$6292,"Grounding")</f>
        <v/>
      </c>
      <c r="Q8" s="17">
        <f>SUMIFS('Cable Schedule'!$W$2:$W$6292,'Cable Schedule'!$B$2:$B$6292,"F",'Cable Schedule'!$I$2:$I$6292,"Overhead")</f>
        <v/>
      </c>
      <c r="R8" s="27">
        <f>SUM(B8:Q8)</f>
        <v/>
      </c>
    </row>
    <row r="9">
      <c r="A9" s="12" t="inlineStr">
        <is>
          <t>G  Carbon capture</t>
        </is>
      </c>
      <c r="B9" s="17">
        <f>SUMIFS('Cable Schedule'!$W$2:$W$6292,'Cable Schedule'!$B$2:$B$6292,"G",'Cable Schedule'!$I$2:$I$6292,"MV 15 kV")</f>
        <v/>
      </c>
      <c r="C9" s="17">
        <f>SUMIFS('Cable Schedule'!$W$2:$W$6292,'Cable Schedule'!$B$2:$B$6292,"G",'Cable Schedule'!$I$2:$I$6292,"MV 5 kV")</f>
        <v/>
      </c>
      <c r="D9" s="17">
        <f>SUMIFS('Cable Schedule'!$W$2:$W$6292,'Cable Schedule'!$B$2:$B$6292,"G",'Cable Schedule'!$I$2:$I$6292,"MV 25 kV")</f>
        <v/>
      </c>
      <c r="E9" s="17">
        <f>SUMIFS('Cable Schedule'!$W$2:$W$6292,'Cable Schedule'!$B$2:$B$6292,"G",'Cable Schedule'!$I$2:$I$6292,"MV 35 kV")</f>
        <v/>
      </c>
      <c r="F9" s="17">
        <f>SUMIFS('Cable Schedule'!$W$2:$W$6292,'Cable Schedule'!$B$2:$B$6292,"G",'Cable Schedule'!$I$2:$I$6292,"HV 230 kV")</f>
        <v/>
      </c>
      <c r="G9" s="17">
        <f>SUMIFS('Cable Schedule'!$W$2:$W$6292,'Cable Schedule'!$B$2:$B$6292,"G",'Cable Schedule'!$I$2:$I$6292,"LV 600 V")</f>
        <v/>
      </c>
      <c r="H9" s="17">
        <f>SUMIFS('Cable Schedule'!$W$2:$W$6292,'Cable Schedule'!$B$2:$B$6292,"G",'Cable Schedule'!$I$2:$I$6292,"Control")</f>
        <v/>
      </c>
      <c r="I9" s="17">
        <f>SUMIFS('Cable Schedule'!$W$2:$W$6292,'Cable Schedule'!$B$2:$B$6292,"G",'Cable Schedule'!$I$2:$I$6292,"Instrumentation")</f>
        <v/>
      </c>
      <c r="J9" s="17">
        <f>SUMIFS('Cable Schedule'!$W$2:$W$6292,'Cable Schedule'!$B$2:$B$6292,"G",'Cable Schedule'!$I$2:$I$6292,"Fire alarm")</f>
        <v/>
      </c>
      <c r="K9" s="17">
        <f>SUMIFS('Cable Schedule'!$W$2:$W$6292,'Cable Schedule'!$B$2:$B$6292,"G",'Cable Schedule'!$I$2:$I$6292,"Fibre / data")</f>
        <v/>
      </c>
      <c r="L9" s="17">
        <f>SUMIFS('Cable Schedule'!$W$2:$W$6292,'Cable Schedule'!$B$2:$B$6292,"G",'Cable Schedule'!$I$2:$I$6292,"DC 2 kV")</f>
        <v/>
      </c>
      <c r="M9" s="17">
        <f>SUMIFS('Cable Schedule'!$W$2:$W$6292,'Cable Schedule'!$B$2:$B$6292,"G",'Cable Schedule'!$I$2:$I$6292,"Portable MV")</f>
        <v/>
      </c>
      <c r="N9" s="17">
        <f>SUMIFS('Cable Schedule'!$W$2:$W$6292,'Cable Schedule'!$B$2:$B$6292,"G",'Cable Schedule'!$I$2:$I$6292,"Portable LV")</f>
        <v/>
      </c>
      <c r="O9" s="17">
        <f>SUMIFS('Cable Schedule'!$W$2:$W$6292,'Cable Schedule'!$B$2:$B$6292,"G",'Cable Schedule'!$I$2:$I$6292,"Building wire")</f>
        <v/>
      </c>
      <c r="P9" s="17">
        <f>SUMIFS('Cable Schedule'!$W$2:$W$6292,'Cable Schedule'!$B$2:$B$6292,"G",'Cable Schedule'!$I$2:$I$6292,"Grounding")</f>
        <v/>
      </c>
      <c r="Q9" s="17">
        <f>SUMIFS('Cable Schedule'!$W$2:$W$6292,'Cable Schedule'!$B$2:$B$6292,"G",'Cable Schedule'!$I$2:$I$6292,"Overhead")</f>
        <v/>
      </c>
      <c r="R9" s="27">
        <f>SUM(B9:Q9)</f>
        <v/>
      </c>
    </row>
    <row r="10">
      <c r="A10" s="12" t="inlineStr">
        <is>
          <t>H  BESS</t>
        </is>
      </c>
      <c r="B10" s="17">
        <f>SUMIFS('Cable Schedule'!$W$2:$W$6292,'Cable Schedule'!$B$2:$B$6292,"H",'Cable Schedule'!$I$2:$I$6292,"MV 15 kV")</f>
        <v/>
      </c>
      <c r="C10" s="17">
        <f>SUMIFS('Cable Schedule'!$W$2:$W$6292,'Cable Schedule'!$B$2:$B$6292,"H",'Cable Schedule'!$I$2:$I$6292,"MV 5 kV")</f>
        <v/>
      </c>
      <c r="D10" s="17">
        <f>SUMIFS('Cable Schedule'!$W$2:$W$6292,'Cable Schedule'!$B$2:$B$6292,"H",'Cable Schedule'!$I$2:$I$6292,"MV 25 kV")</f>
        <v/>
      </c>
      <c r="E10" s="17">
        <f>SUMIFS('Cable Schedule'!$W$2:$W$6292,'Cable Schedule'!$B$2:$B$6292,"H",'Cable Schedule'!$I$2:$I$6292,"MV 35 kV")</f>
        <v/>
      </c>
      <c r="F10" s="17">
        <f>SUMIFS('Cable Schedule'!$W$2:$W$6292,'Cable Schedule'!$B$2:$B$6292,"H",'Cable Schedule'!$I$2:$I$6292,"HV 230 kV")</f>
        <v/>
      </c>
      <c r="G10" s="17">
        <f>SUMIFS('Cable Schedule'!$W$2:$W$6292,'Cable Schedule'!$B$2:$B$6292,"H",'Cable Schedule'!$I$2:$I$6292,"LV 600 V")</f>
        <v/>
      </c>
      <c r="H10" s="17">
        <f>SUMIFS('Cable Schedule'!$W$2:$W$6292,'Cable Schedule'!$B$2:$B$6292,"H",'Cable Schedule'!$I$2:$I$6292,"Control")</f>
        <v/>
      </c>
      <c r="I10" s="17">
        <f>SUMIFS('Cable Schedule'!$W$2:$W$6292,'Cable Schedule'!$B$2:$B$6292,"H",'Cable Schedule'!$I$2:$I$6292,"Instrumentation")</f>
        <v/>
      </c>
      <c r="J10" s="17">
        <f>SUMIFS('Cable Schedule'!$W$2:$W$6292,'Cable Schedule'!$B$2:$B$6292,"H",'Cable Schedule'!$I$2:$I$6292,"Fire alarm")</f>
        <v/>
      </c>
      <c r="K10" s="17">
        <f>SUMIFS('Cable Schedule'!$W$2:$W$6292,'Cable Schedule'!$B$2:$B$6292,"H",'Cable Schedule'!$I$2:$I$6292,"Fibre / data")</f>
        <v/>
      </c>
      <c r="L10" s="17">
        <f>SUMIFS('Cable Schedule'!$W$2:$W$6292,'Cable Schedule'!$B$2:$B$6292,"H",'Cable Schedule'!$I$2:$I$6292,"DC 2 kV")</f>
        <v/>
      </c>
      <c r="M10" s="17">
        <f>SUMIFS('Cable Schedule'!$W$2:$W$6292,'Cable Schedule'!$B$2:$B$6292,"H",'Cable Schedule'!$I$2:$I$6292,"Portable MV")</f>
        <v/>
      </c>
      <c r="N10" s="17">
        <f>SUMIFS('Cable Schedule'!$W$2:$W$6292,'Cable Schedule'!$B$2:$B$6292,"H",'Cable Schedule'!$I$2:$I$6292,"Portable LV")</f>
        <v/>
      </c>
      <c r="O10" s="17">
        <f>SUMIFS('Cable Schedule'!$W$2:$W$6292,'Cable Schedule'!$B$2:$B$6292,"H",'Cable Schedule'!$I$2:$I$6292,"Building wire")</f>
        <v/>
      </c>
      <c r="P10" s="17">
        <f>SUMIFS('Cable Schedule'!$W$2:$W$6292,'Cable Schedule'!$B$2:$B$6292,"H",'Cable Schedule'!$I$2:$I$6292,"Grounding")</f>
        <v/>
      </c>
      <c r="Q10" s="17">
        <f>SUMIFS('Cable Schedule'!$W$2:$W$6292,'Cable Schedule'!$B$2:$B$6292,"H",'Cable Schedule'!$I$2:$I$6292,"Overhead")</f>
        <v/>
      </c>
      <c r="R10" s="27">
        <f>SUM(B10:Q10)</f>
        <v/>
      </c>
    </row>
    <row r="11">
      <c r="A11" s="12" t="inlineStr">
        <is>
          <t>I  Modular / portable power</t>
        </is>
      </c>
      <c r="B11" s="17">
        <f>SUMIFS('Cable Schedule'!$W$2:$W$6292,'Cable Schedule'!$B$2:$B$6292,"I",'Cable Schedule'!$I$2:$I$6292,"MV 15 kV")</f>
        <v/>
      </c>
      <c r="C11" s="17">
        <f>SUMIFS('Cable Schedule'!$W$2:$W$6292,'Cable Schedule'!$B$2:$B$6292,"I",'Cable Schedule'!$I$2:$I$6292,"MV 5 kV")</f>
        <v/>
      </c>
      <c r="D11" s="17">
        <f>SUMIFS('Cable Schedule'!$W$2:$W$6292,'Cable Schedule'!$B$2:$B$6292,"I",'Cable Schedule'!$I$2:$I$6292,"MV 25 kV")</f>
        <v/>
      </c>
      <c r="E11" s="17">
        <f>SUMIFS('Cable Schedule'!$W$2:$W$6292,'Cable Schedule'!$B$2:$B$6292,"I",'Cable Schedule'!$I$2:$I$6292,"MV 35 kV")</f>
        <v/>
      </c>
      <c r="F11" s="17">
        <f>SUMIFS('Cable Schedule'!$W$2:$W$6292,'Cable Schedule'!$B$2:$B$6292,"I",'Cable Schedule'!$I$2:$I$6292,"HV 230 kV")</f>
        <v/>
      </c>
      <c r="G11" s="17">
        <f>SUMIFS('Cable Schedule'!$W$2:$W$6292,'Cable Schedule'!$B$2:$B$6292,"I",'Cable Schedule'!$I$2:$I$6292,"LV 600 V")</f>
        <v/>
      </c>
      <c r="H11" s="17">
        <f>SUMIFS('Cable Schedule'!$W$2:$W$6292,'Cable Schedule'!$B$2:$B$6292,"I",'Cable Schedule'!$I$2:$I$6292,"Control")</f>
        <v/>
      </c>
      <c r="I11" s="17">
        <f>SUMIFS('Cable Schedule'!$W$2:$W$6292,'Cable Schedule'!$B$2:$B$6292,"I",'Cable Schedule'!$I$2:$I$6292,"Instrumentation")</f>
        <v/>
      </c>
      <c r="J11" s="17">
        <f>SUMIFS('Cable Schedule'!$W$2:$W$6292,'Cable Schedule'!$B$2:$B$6292,"I",'Cable Schedule'!$I$2:$I$6292,"Fire alarm")</f>
        <v/>
      </c>
      <c r="K11" s="17">
        <f>SUMIFS('Cable Schedule'!$W$2:$W$6292,'Cable Schedule'!$B$2:$B$6292,"I",'Cable Schedule'!$I$2:$I$6292,"Fibre / data")</f>
        <v/>
      </c>
      <c r="L11" s="17">
        <f>SUMIFS('Cable Schedule'!$W$2:$W$6292,'Cable Schedule'!$B$2:$B$6292,"I",'Cable Schedule'!$I$2:$I$6292,"DC 2 kV")</f>
        <v/>
      </c>
      <c r="M11" s="17">
        <f>SUMIFS('Cable Schedule'!$W$2:$W$6292,'Cable Schedule'!$B$2:$B$6292,"I",'Cable Schedule'!$I$2:$I$6292,"Portable MV")</f>
        <v/>
      </c>
      <c r="N11" s="17">
        <f>SUMIFS('Cable Schedule'!$W$2:$W$6292,'Cable Schedule'!$B$2:$B$6292,"I",'Cable Schedule'!$I$2:$I$6292,"Portable LV")</f>
        <v/>
      </c>
      <c r="O11" s="17">
        <f>SUMIFS('Cable Schedule'!$W$2:$W$6292,'Cable Schedule'!$B$2:$B$6292,"I",'Cable Schedule'!$I$2:$I$6292,"Building wire")</f>
        <v/>
      </c>
      <c r="P11" s="17">
        <f>SUMIFS('Cable Schedule'!$W$2:$W$6292,'Cable Schedule'!$B$2:$B$6292,"I",'Cable Schedule'!$I$2:$I$6292,"Grounding")</f>
        <v/>
      </c>
      <c r="Q11" s="17">
        <f>SUMIFS('Cable Schedule'!$W$2:$W$6292,'Cable Schedule'!$B$2:$B$6292,"I",'Cable Schedule'!$I$2:$I$6292,"Overhead")</f>
        <v/>
      </c>
      <c r="R11" s="27">
        <f>SUM(B11:Q11)</f>
        <v/>
      </c>
    </row>
    <row r="12">
      <c r="A12" s="12" t="inlineStr">
        <is>
          <t>J  GT inlet chilling</t>
        </is>
      </c>
      <c r="B12" s="17">
        <f>SUMIFS('Cable Schedule'!$W$2:$W$6292,'Cable Schedule'!$B$2:$B$6292,"J",'Cable Schedule'!$I$2:$I$6292,"MV 15 kV")</f>
        <v/>
      </c>
      <c r="C12" s="17">
        <f>SUMIFS('Cable Schedule'!$W$2:$W$6292,'Cable Schedule'!$B$2:$B$6292,"J",'Cable Schedule'!$I$2:$I$6292,"MV 5 kV")</f>
        <v/>
      </c>
      <c r="D12" s="17">
        <f>SUMIFS('Cable Schedule'!$W$2:$W$6292,'Cable Schedule'!$B$2:$B$6292,"J",'Cable Schedule'!$I$2:$I$6292,"MV 25 kV")</f>
        <v/>
      </c>
      <c r="E12" s="17">
        <f>SUMIFS('Cable Schedule'!$W$2:$W$6292,'Cable Schedule'!$B$2:$B$6292,"J",'Cable Schedule'!$I$2:$I$6292,"MV 35 kV")</f>
        <v/>
      </c>
      <c r="F12" s="17">
        <f>SUMIFS('Cable Schedule'!$W$2:$W$6292,'Cable Schedule'!$B$2:$B$6292,"J",'Cable Schedule'!$I$2:$I$6292,"HV 230 kV")</f>
        <v/>
      </c>
      <c r="G12" s="17">
        <f>SUMIFS('Cable Schedule'!$W$2:$W$6292,'Cable Schedule'!$B$2:$B$6292,"J",'Cable Schedule'!$I$2:$I$6292,"LV 600 V")</f>
        <v/>
      </c>
      <c r="H12" s="17">
        <f>SUMIFS('Cable Schedule'!$W$2:$W$6292,'Cable Schedule'!$B$2:$B$6292,"J",'Cable Schedule'!$I$2:$I$6292,"Control")</f>
        <v/>
      </c>
      <c r="I12" s="17">
        <f>SUMIFS('Cable Schedule'!$W$2:$W$6292,'Cable Schedule'!$B$2:$B$6292,"J",'Cable Schedule'!$I$2:$I$6292,"Instrumentation")</f>
        <v/>
      </c>
      <c r="J12" s="17">
        <f>SUMIFS('Cable Schedule'!$W$2:$W$6292,'Cable Schedule'!$B$2:$B$6292,"J",'Cable Schedule'!$I$2:$I$6292,"Fire alarm")</f>
        <v/>
      </c>
      <c r="K12" s="17">
        <f>SUMIFS('Cable Schedule'!$W$2:$W$6292,'Cable Schedule'!$B$2:$B$6292,"J",'Cable Schedule'!$I$2:$I$6292,"Fibre / data")</f>
        <v/>
      </c>
      <c r="L12" s="17">
        <f>SUMIFS('Cable Schedule'!$W$2:$W$6292,'Cable Schedule'!$B$2:$B$6292,"J",'Cable Schedule'!$I$2:$I$6292,"DC 2 kV")</f>
        <v/>
      </c>
      <c r="M12" s="17">
        <f>SUMIFS('Cable Schedule'!$W$2:$W$6292,'Cable Schedule'!$B$2:$B$6292,"J",'Cable Schedule'!$I$2:$I$6292,"Portable MV")</f>
        <v/>
      </c>
      <c r="N12" s="17">
        <f>SUMIFS('Cable Schedule'!$W$2:$W$6292,'Cable Schedule'!$B$2:$B$6292,"J",'Cable Schedule'!$I$2:$I$6292,"Portable LV")</f>
        <v/>
      </c>
      <c r="O12" s="17">
        <f>SUMIFS('Cable Schedule'!$W$2:$W$6292,'Cable Schedule'!$B$2:$B$6292,"J",'Cable Schedule'!$I$2:$I$6292,"Building wire")</f>
        <v/>
      </c>
      <c r="P12" s="17">
        <f>SUMIFS('Cable Schedule'!$W$2:$W$6292,'Cable Schedule'!$B$2:$B$6292,"J",'Cable Schedule'!$I$2:$I$6292,"Grounding")</f>
        <v/>
      </c>
      <c r="Q12" s="17">
        <f>SUMIFS('Cable Schedule'!$W$2:$W$6292,'Cable Schedule'!$B$2:$B$6292,"J",'Cable Schedule'!$I$2:$I$6292,"Overhead")</f>
        <v/>
      </c>
      <c r="R12" s="27">
        <f>SUM(B12:Q12)</f>
        <v/>
      </c>
    </row>
    <row r="13">
      <c r="A13" s="12" t="inlineStr">
        <is>
          <t>K  Fuel supply (adjacent market)</t>
        </is>
      </c>
      <c r="B13" s="17">
        <f>SUMIFS('Cable Schedule'!$W$2:$W$6292,'Cable Schedule'!$B$2:$B$6292,"K",'Cable Schedule'!$I$2:$I$6292,"MV 15 kV")</f>
        <v/>
      </c>
      <c r="C13" s="17">
        <f>SUMIFS('Cable Schedule'!$W$2:$W$6292,'Cable Schedule'!$B$2:$B$6292,"K",'Cable Schedule'!$I$2:$I$6292,"MV 5 kV")</f>
        <v/>
      </c>
      <c r="D13" s="17">
        <f>SUMIFS('Cable Schedule'!$W$2:$W$6292,'Cable Schedule'!$B$2:$B$6292,"K",'Cable Schedule'!$I$2:$I$6292,"MV 25 kV")</f>
        <v/>
      </c>
      <c r="E13" s="17">
        <f>SUMIFS('Cable Schedule'!$W$2:$W$6292,'Cable Schedule'!$B$2:$B$6292,"K",'Cable Schedule'!$I$2:$I$6292,"MV 35 kV")</f>
        <v/>
      </c>
      <c r="F13" s="17">
        <f>SUMIFS('Cable Schedule'!$W$2:$W$6292,'Cable Schedule'!$B$2:$B$6292,"K",'Cable Schedule'!$I$2:$I$6292,"HV 230 kV")</f>
        <v/>
      </c>
      <c r="G13" s="17">
        <f>SUMIFS('Cable Schedule'!$W$2:$W$6292,'Cable Schedule'!$B$2:$B$6292,"K",'Cable Schedule'!$I$2:$I$6292,"LV 600 V")</f>
        <v/>
      </c>
      <c r="H13" s="17">
        <f>SUMIFS('Cable Schedule'!$W$2:$W$6292,'Cable Schedule'!$B$2:$B$6292,"K",'Cable Schedule'!$I$2:$I$6292,"Control")</f>
        <v/>
      </c>
      <c r="I13" s="17">
        <f>SUMIFS('Cable Schedule'!$W$2:$W$6292,'Cable Schedule'!$B$2:$B$6292,"K",'Cable Schedule'!$I$2:$I$6292,"Instrumentation")</f>
        <v/>
      </c>
      <c r="J13" s="17">
        <f>SUMIFS('Cable Schedule'!$W$2:$W$6292,'Cable Schedule'!$B$2:$B$6292,"K",'Cable Schedule'!$I$2:$I$6292,"Fire alarm")</f>
        <v/>
      </c>
      <c r="K13" s="17">
        <f>SUMIFS('Cable Schedule'!$W$2:$W$6292,'Cable Schedule'!$B$2:$B$6292,"K",'Cable Schedule'!$I$2:$I$6292,"Fibre / data")</f>
        <v/>
      </c>
      <c r="L13" s="17">
        <f>SUMIFS('Cable Schedule'!$W$2:$W$6292,'Cable Schedule'!$B$2:$B$6292,"K",'Cable Schedule'!$I$2:$I$6292,"DC 2 kV")</f>
        <v/>
      </c>
      <c r="M13" s="17">
        <f>SUMIFS('Cable Schedule'!$W$2:$W$6292,'Cable Schedule'!$B$2:$B$6292,"K",'Cable Schedule'!$I$2:$I$6292,"Portable MV")</f>
        <v/>
      </c>
      <c r="N13" s="17">
        <f>SUMIFS('Cable Schedule'!$W$2:$W$6292,'Cable Schedule'!$B$2:$B$6292,"K",'Cable Schedule'!$I$2:$I$6292,"Portable LV")</f>
        <v/>
      </c>
      <c r="O13" s="17">
        <f>SUMIFS('Cable Schedule'!$W$2:$W$6292,'Cable Schedule'!$B$2:$B$6292,"K",'Cable Schedule'!$I$2:$I$6292,"Building wire")</f>
        <v/>
      </c>
      <c r="P13" s="17">
        <f>SUMIFS('Cable Schedule'!$W$2:$W$6292,'Cable Schedule'!$B$2:$B$6292,"K",'Cable Schedule'!$I$2:$I$6292,"Grounding")</f>
        <v/>
      </c>
      <c r="Q13" s="17">
        <f>SUMIFS('Cable Schedule'!$W$2:$W$6292,'Cable Schedule'!$B$2:$B$6292,"K",'Cable Schedule'!$I$2:$I$6292,"Overhead")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Schedule'!B2:B6292,"?")</f>
        <v/>
      </c>
    </row>
    <row r="18">
      <c r="A18" s="21" t="inlineStr">
        <is>
          <t>Cables (count)</t>
        </is>
      </c>
      <c r="B18" s="17">
        <f>SUM('Cable Schedule'!AA2:AA6292)</f>
        <v/>
      </c>
    </row>
    <row r="20">
      <c r="A20" s="21" t="inlineStr">
        <is>
          <t>Device count behind the schedule (typical for each equipment class)</t>
        </is>
      </c>
    </row>
    <row r="21">
      <c r="A21" s="12" t="inlineStr">
        <is>
          <t>Analog instruments</t>
        </is>
      </c>
      <c r="B21" s="29" t="n">
        <v>6034</v>
      </c>
    </row>
    <row r="22">
      <c r="A22" s="12" t="inlineStr">
        <is>
          <t>Discrete devices</t>
        </is>
      </c>
      <c r="B22" s="29" t="n">
        <v>6394</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788</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90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Flammable / hazmat storage building (lube-oil drums, chemicals, gas cy</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t>
        </is>
      </c>
      <c r="K916" s="12" t="n">
        <v>1</v>
      </c>
    </row>
    <row r="917">
      <c r="A917" s="12" t="inlineStr">
        <is>
          <t>Gatehouse</t>
        </is>
      </c>
      <c r="B917" s="12" t="inlineStr"/>
      <c r="C917" s="12" t="inlineStr">
        <is>
          <t>F</t>
        </is>
      </c>
      <c r="D917" s="12" t="inlineStr">
        <is>
          <t>LV panel / distribution feeder</t>
        </is>
      </c>
      <c r="E917" s="12" t="n">
        <v>480</v>
      </c>
      <c r="F917" s="12" t="n">
        <v>30</v>
      </c>
      <c r="G917" s="12" t="n">
        <v>42.5</v>
      </c>
      <c r="H917" s="12" t="inlineStr">
        <is>
          <t>R1 MCC-C2</t>
        </is>
      </c>
      <c r="I917" s="12" t="inlineStr">
        <is>
          <t>LV 600 V</t>
        </is>
      </c>
      <c r="J917" s="12" t="inlineStr">
        <is>
          <t>1/0</t>
        </is>
      </c>
      <c r="K917" s="12" t="n">
        <v>1</v>
      </c>
    </row>
    <row r="918">
      <c r="A918" s="12" t="inlineStr">
        <is>
          <t>LS-1: sanitary lift station (packaged duplex)</t>
        </is>
      </c>
      <c r="B918" s="12" t="inlineStr">
        <is>
          <t>LS-1</t>
        </is>
      </c>
      <c r="C918" s="12" t="inlineStr">
        <is>
          <t>F</t>
        </is>
      </c>
      <c r="D918" s="12" t="inlineStr">
        <is>
          <t>Motor 1 of 2, 7 kW</t>
        </is>
      </c>
      <c r="E918" s="12" t="n">
        <v>480</v>
      </c>
      <c r="F918" s="12" t="n">
        <v>7</v>
      </c>
      <c r="G918" s="12" t="n">
        <v>9.9</v>
      </c>
      <c r="H918" s="12" t="inlineStr">
        <is>
          <t>R1 MCC-C2</t>
        </is>
      </c>
      <c r="I918" s="12" t="inlineStr">
        <is>
          <t>LV 600 V</t>
        </is>
      </c>
      <c r="J918" s="12" t="inlineStr">
        <is>
          <t>8</t>
        </is>
      </c>
      <c r="K918" s="12" t="n">
        <v>1</v>
      </c>
    </row>
    <row r="919">
      <c r="A919" s="12" t="inlineStr">
        <is>
          <t>LS-1: sanitary lift station (packaged duplex)</t>
        </is>
      </c>
      <c r="B919" s="12" t="inlineStr">
        <is>
          <t>LS-1</t>
        </is>
      </c>
      <c r="C919" s="12" t="inlineStr">
        <is>
          <t>F</t>
        </is>
      </c>
      <c r="D919" s="12" t="inlineStr">
        <is>
          <t>Motor 2 of 2, 7 kW</t>
        </is>
      </c>
      <c r="E919" s="12" t="n">
        <v>480</v>
      </c>
      <c r="F919" s="12" t="n">
        <v>7</v>
      </c>
      <c r="G919" s="12" t="n">
        <v>9.9</v>
      </c>
      <c r="H919" s="12" t="inlineStr">
        <is>
          <t>R1 MCC-C2</t>
        </is>
      </c>
      <c r="I919" s="12" t="inlineStr">
        <is>
          <t>LV 600 V</t>
        </is>
      </c>
      <c r="J919" s="12" t="inlineStr">
        <is>
          <t>8</t>
        </is>
      </c>
      <c r="K919" s="12" t="n">
        <v>1</v>
      </c>
    </row>
    <row r="920">
      <c r="A920" s="12" t="inlineStr">
        <is>
          <t>Maintenance building / workshop</t>
        </is>
      </c>
      <c r="B920" s="12" t="inlineStr"/>
      <c r="C920" s="12" t="inlineStr">
        <is>
          <t>F</t>
        </is>
      </c>
      <c r="D920" s="12" t="inlineStr">
        <is>
          <t>LV panel / distribution feeder</t>
        </is>
      </c>
      <c r="E920" s="12" t="n">
        <v>480</v>
      </c>
      <c r="F920" s="12" t="n">
        <v>60</v>
      </c>
      <c r="G920" s="12" t="n">
        <v>84.90000000000001</v>
      </c>
      <c r="H920" s="12" t="inlineStr">
        <is>
          <t>R1 MCC-C2</t>
        </is>
      </c>
      <c r="I920" s="12" t="inlineStr">
        <is>
          <t>LV 600 V</t>
        </is>
      </c>
      <c r="J920" s="12" t="inlineStr">
        <is>
          <t>2/0</t>
        </is>
      </c>
      <c r="K920" s="12" t="n">
        <v>1</v>
      </c>
    </row>
    <row r="921">
      <c r="A921" s="12" t="inlineStr">
        <is>
          <t>Stormwater pump station (2 x 100% submersible pumps)</t>
        </is>
      </c>
      <c r="B921" s="12" t="inlineStr"/>
      <c r="C921" s="12" t="inlineStr">
        <is>
          <t>F</t>
        </is>
      </c>
      <c r="D921" s="12" t="inlineStr">
        <is>
          <t>Motor 1 of 2, 75 kW</t>
        </is>
      </c>
      <c r="E921" s="12" t="n">
        <v>480</v>
      </c>
      <c r="F921" s="12" t="n">
        <v>75</v>
      </c>
      <c r="G921" s="12" t="n">
        <v>106.1</v>
      </c>
      <c r="H921" s="12" t="inlineStr">
        <is>
          <t>R1 MCC-C2</t>
        </is>
      </c>
      <c r="I921" s="12" t="inlineStr">
        <is>
          <t>LV 600 V</t>
        </is>
      </c>
      <c r="J921" s="12" t="inlineStr">
        <is>
          <t>500 kcmil</t>
        </is>
      </c>
      <c r="K921" s="12" t="n">
        <v>1</v>
      </c>
    </row>
    <row r="922">
      <c r="A922" s="12" t="inlineStr">
        <is>
          <t>Stormwater pump station (2 x 100% submersible pumps)</t>
        </is>
      </c>
      <c r="B922" s="12" t="inlineStr"/>
      <c r="C922" s="12" t="inlineStr">
        <is>
          <t>F</t>
        </is>
      </c>
      <c r="D922" s="12" t="inlineStr">
        <is>
          <t>Motor 2 of 2, 75 kW</t>
        </is>
      </c>
      <c r="E922" s="12" t="n">
        <v>480</v>
      </c>
      <c r="F922" s="12" t="n">
        <v>75</v>
      </c>
      <c r="G922" s="12" t="n">
        <v>106.1</v>
      </c>
      <c r="H922" s="12" t="inlineStr">
        <is>
          <t>R1 MCC-C2</t>
        </is>
      </c>
      <c r="I922" s="12" t="inlineStr">
        <is>
          <t>LV 600 V</t>
        </is>
      </c>
      <c r="J922" s="12" t="inlineStr">
        <is>
          <t>500 kcmil</t>
        </is>
      </c>
      <c r="K922" s="12" t="n">
        <v>1</v>
      </c>
    </row>
    <row r="923">
      <c r="A923" s="12" t="inlineStr">
        <is>
          <t>Warehouse</t>
        </is>
      </c>
      <c r="B923" s="12" t="inlineStr"/>
      <c r="C923" s="12" t="inlineStr">
        <is>
          <t>F</t>
        </is>
      </c>
      <c r="D923" s="12" t="inlineStr">
        <is>
          <t>LV panel / distribution feeder</t>
        </is>
      </c>
      <c r="E923" s="12" t="n">
        <v>480</v>
      </c>
      <c r="F923" s="12" t="n">
        <v>204</v>
      </c>
      <c r="G923" s="12" t="n">
        <v>288.7</v>
      </c>
      <c r="H923" s="12" t="inlineStr">
        <is>
          <t>R1 MCC-C2</t>
        </is>
      </c>
      <c r="I923" s="12" t="inlineStr">
        <is>
          <t>LV 600 V</t>
        </is>
      </c>
      <c r="J923" s="12" t="inlineStr">
        <is>
          <t>500 kcmil</t>
        </is>
      </c>
      <c r="K923" s="12" t="n">
        <v>1</v>
      </c>
    </row>
    <row r="924">
      <c r="A924" s="12" t="inlineStr">
        <is>
          <t>Absorber A (62 ft dia x 262 ft, stack to 313 ft)</t>
        </is>
      </c>
      <c r="B924" s="12" t="inlineStr">
        <is>
          <t>ABS-A</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2</t>
        </is>
      </c>
      <c r="K934" s="12" t="n">
        <v>1</v>
      </c>
    </row>
    <row r="935">
      <c r="A935" s="12" t="inlineStr">
        <is>
          <t>Absorber A (62 ft dia x 262 ft, stack to 313 ft)</t>
        </is>
      </c>
      <c r="B935" s="12" t="inlineStr">
        <is>
          <t>ABS-A</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(62 ft dia x 262 ft, stack to 313 ft)</t>
        </is>
      </c>
      <c r="B941" s="12" t="inlineStr">
        <is>
          <t>ABS-A</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1/0</t>
        </is>
      </c>
      <c r="K941" s="12" t="n">
        <v>1</v>
      </c>
    </row>
    <row r="942">
      <c r="A942" s="12" t="inlineStr">
        <is>
          <t>Absorber A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A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B (62 ft dia x 262 ft, stack to 313 ft)</t>
        </is>
      </c>
      <c r="B944" s="12" t="inlineStr">
        <is>
          <t>ABS-B</t>
        </is>
      </c>
      <c r="C944" s="12" t="inlineStr">
        <is>
          <t>G</t>
        </is>
      </c>
      <c r="D944" s="12" t="inlineStr">
        <is>
          <t>MOV 1: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2: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3: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4: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5: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6: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7: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8: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9: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MOV 10: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B (62 ft dia x 262 ft, stack to 313 ft)</t>
        </is>
      </c>
      <c r="B954" s="12" t="inlineStr">
        <is>
          <t>ABS-B</t>
        </is>
      </c>
      <c r="C954" s="12" t="inlineStr">
        <is>
          <t>G</t>
        </is>
      </c>
      <c r="D954" s="12" t="inlineStr">
        <is>
          <t>LV power feeder</t>
        </is>
      </c>
      <c r="E954" s="12" t="n">
        <v>480</v>
      </c>
      <c r="F954" s="12" t="n">
        <v>40</v>
      </c>
      <c r="G954" s="12" t="n">
        <v>56.6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Area / platform lighting circuit 1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2 (12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Area / platform lighting circuit 3 (6 fixtures)</t>
        </is>
      </c>
      <c r="E957" s="12" t="n">
        <v>480</v>
      </c>
      <c r="F957" s="12" t="n">
        <v>3</v>
      </c>
      <c r="G957" s="12" t="n">
        <v>5</v>
      </c>
      <c r="H957" s="12" t="inlineStr">
        <is>
          <t>CCS MV switchgear building (VFDs)</t>
        </is>
      </c>
      <c r="I957" s="12" t="inlineStr">
        <is>
          <t>LV 600 V</t>
        </is>
      </c>
      <c r="J957" s="12" t="inlineStr">
        <is>
          <t>10</t>
        </is>
      </c>
      <c r="K957" s="12" t="n">
        <v>1</v>
      </c>
    </row>
    <row r="958">
      <c r="A958" s="12" t="inlineStr">
        <is>
          <t>Absorber B (62 ft dia x 262 ft, stack to 313 ft)</t>
        </is>
      </c>
      <c r="B958" s="12" t="inlineStr">
        <is>
          <t>ABS-B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(62 ft dia x 262 ft, stack to 313 ft)</t>
        </is>
      </c>
      <c r="B961" s="12" t="inlineStr">
        <is>
          <t>ABS-B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Absorber B intercooler (pumps + plate exchanger)</t>
        </is>
      </c>
      <c r="B962" s="12" t="inlineStr"/>
      <c r="C962" s="12" t="inlineStr">
        <is>
          <t>G</t>
        </is>
      </c>
      <c r="D962" s="12" t="inlineStr">
        <is>
          <t>Motor 1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B intercooler (pumps + plate exchanger)</t>
        </is>
      </c>
      <c r="B963" s="12" t="inlineStr"/>
      <c r="C963" s="12" t="inlineStr">
        <is>
          <t>G</t>
        </is>
      </c>
      <c r="D963" s="12" t="inlineStr">
        <is>
          <t>Motor 2 of 2, 150 kW</t>
        </is>
      </c>
      <c r="E963" s="12" t="n">
        <v>480</v>
      </c>
      <c r="F963" s="12" t="n">
        <v>150</v>
      </c>
      <c r="G963" s="12" t="n">
        <v>212.3</v>
      </c>
      <c r="H963" s="12" t="inlineStr">
        <is>
          <t>CCS MV switchgear building (VFDs)</t>
        </is>
      </c>
      <c r="I963" s="12" t="inlineStr">
        <is>
          <t>LV 600 V</t>
        </is>
      </c>
      <c r="J963" s="12" t="inlineStr">
        <is>
          <t>350 kcmil</t>
        </is>
      </c>
      <c r="K963" s="12" t="n">
        <v>1</v>
      </c>
    </row>
    <row r="964">
      <c r="A964" s="12" t="inlineStr">
        <is>
          <t>Absorber C (62 ft dia x 262 ft, stack to 313 ft)</t>
        </is>
      </c>
      <c r="B964" s="12" t="inlineStr">
        <is>
          <t>ABS-C</t>
        </is>
      </c>
      <c r="C964" s="12" t="inlineStr">
        <is>
          <t>G</t>
        </is>
      </c>
      <c r="D964" s="12" t="inlineStr">
        <is>
          <t>MOV 1: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2: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3: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4: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5: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6: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7: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8: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9: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MOV 10: power</t>
        </is>
      </c>
      <c r="E973" s="12" t="n">
        <v>480</v>
      </c>
      <c r="F973" s="12" t="n">
        <v>2.5</v>
      </c>
      <c r="G973" s="12" t="n">
        <v>3.5</v>
      </c>
      <c r="H973" s="12" t="inlineStr">
        <is>
          <t>CCS MV switchgear building (VFDs)</t>
        </is>
      </c>
      <c r="I973" s="12" t="inlineStr">
        <is>
          <t>LV 600 V</t>
        </is>
      </c>
      <c r="J973" s="12" t="inlineStr">
        <is>
          <t>10</t>
        </is>
      </c>
      <c r="K973" s="12" t="n">
        <v>1</v>
      </c>
    </row>
    <row r="974">
      <c r="A974" s="12" t="inlineStr">
        <is>
          <t>Absorber C (62 ft dia x 262 ft, stack to 313 ft)</t>
        </is>
      </c>
      <c r="B974" s="12" t="inlineStr">
        <is>
          <t>ABS-C</t>
        </is>
      </c>
      <c r="C974" s="12" t="inlineStr">
        <is>
          <t>G</t>
        </is>
      </c>
      <c r="D974" s="12" t="inlineStr">
        <is>
          <t>LV power feeder</t>
        </is>
      </c>
      <c r="E974" s="12" t="n">
        <v>480</v>
      </c>
      <c r="F974" s="12" t="n">
        <v>40</v>
      </c>
      <c r="G974" s="12" t="n">
        <v>56.6</v>
      </c>
      <c r="H974" s="12" t="inlineStr">
        <is>
          <t>CCS MV switchgear building (VFDs)</t>
        </is>
      </c>
      <c r="I974" s="12" t="inlineStr">
        <is>
          <t>LV 600 V</t>
        </is>
      </c>
      <c r="J974" s="12" t="inlineStr">
        <is>
          <t>4</t>
        </is>
      </c>
      <c r="K974" s="12" t="n">
        <v>1</v>
      </c>
    </row>
    <row r="975">
      <c r="A975" s="12" t="inlineStr">
        <is>
          <t>Absorber C (62 ft dia x 262 ft, stack to 313 ft)</t>
        </is>
      </c>
      <c r="B975" s="12" t="inlineStr">
        <is>
          <t>ABS-C</t>
        </is>
      </c>
      <c r="C975" s="12" t="inlineStr">
        <is>
          <t>G</t>
        </is>
      </c>
      <c r="D975" s="12" t="inlineStr">
        <is>
          <t>Area / platform lighting circuit 1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2 (12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Area / platform lighting circuit 3 (6 fixtures)</t>
        </is>
      </c>
      <c r="E977" s="12" t="n">
        <v>480</v>
      </c>
      <c r="F977" s="12" t="n">
        <v>3</v>
      </c>
      <c r="G977" s="12" t="n">
        <v>5</v>
      </c>
      <c r="H977" s="12" t="inlineStr">
        <is>
          <t>CCS MV switchgear building (VFDs)</t>
        </is>
      </c>
      <c r="I977" s="12" t="inlineStr">
        <is>
          <t>LV 600 V</t>
        </is>
      </c>
      <c r="J977" s="12" t="inlineStr">
        <is>
          <t>10</t>
        </is>
      </c>
      <c r="K977" s="12" t="n">
        <v>1</v>
      </c>
    </row>
    <row r="978">
      <c r="A978" s="12" t="inlineStr">
        <is>
          <t>Absorber C (62 ft dia x 262 ft, stack to 313 ft)</t>
        </is>
      </c>
      <c r="B978" s="12" t="inlineStr">
        <is>
          <t>ABS-C</t>
        </is>
      </c>
      <c r="C978" s="12" t="inlineStr">
        <is>
          <t>G</t>
        </is>
      </c>
      <c r="D978" s="12" t="inlineStr">
        <is>
          <t>480 V welding receptacle 1</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2</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3</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(62 ft dia x 262 ft, stack to 313 ft)</t>
        </is>
      </c>
      <c r="B981" s="12" t="inlineStr">
        <is>
          <t>ABS-C</t>
        </is>
      </c>
      <c r="C981" s="12" t="inlineStr">
        <is>
          <t>G</t>
        </is>
      </c>
      <c r="D981" s="12" t="inlineStr">
        <is>
          <t>480 V welding receptacle 4</t>
        </is>
      </c>
      <c r="E981" s="12" t="n">
        <v>480</v>
      </c>
      <c r="F981" s="12" t="n">
        <v>60</v>
      </c>
      <c r="G981" s="12" t="n">
        <v>76</v>
      </c>
      <c r="H981" s="12" t="inlineStr">
        <is>
          <t>CCS MV switchgear building (VFDs)</t>
        </is>
      </c>
      <c r="I981" s="12" t="inlineStr">
        <is>
          <t>LV 600 V</t>
        </is>
      </c>
      <c r="J981" s="12" t="inlineStr">
        <is>
          <t>2</t>
        </is>
      </c>
      <c r="K981" s="12" t="n">
        <v>1</v>
      </c>
    </row>
    <row r="982">
      <c r="A982" s="12" t="inlineStr">
        <is>
          <t>Absorber C intercooler (pumps + plate exchanger)</t>
        </is>
      </c>
      <c r="B982" s="12" t="inlineStr"/>
      <c r="C982" s="12" t="inlineStr">
        <is>
          <t>G</t>
        </is>
      </c>
      <c r="D982" s="12" t="inlineStr">
        <is>
          <t>Motor 1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Absorber C intercooler (pumps + plate exchanger)</t>
        </is>
      </c>
      <c r="B983" s="12" t="inlineStr"/>
      <c r="C983" s="12" t="inlineStr">
        <is>
          <t>G</t>
        </is>
      </c>
      <c r="D983" s="12" t="inlineStr">
        <is>
          <t>Motor 2 of 2, 150 kW</t>
        </is>
      </c>
      <c r="E983" s="12" t="n">
        <v>480</v>
      </c>
      <c r="F983" s="12" t="n">
        <v>150</v>
      </c>
      <c r="G983" s="12" t="n">
        <v>212.3</v>
      </c>
      <c r="H983" s="12" t="inlineStr">
        <is>
          <t>CCS MV switchgear building (VFDs)</t>
        </is>
      </c>
      <c r="I983" s="12" t="inlineStr">
        <is>
          <t>LV 600 V</t>
        </is>
      </c>
      <c r="J983" s="12" t="inlineStr">
        <is>
          <t>350 kcmil</t>
        </is>
      </c>
      <c r="K983" s="12" t="n">
        <v>1</v>
      </c>
    </row>
    <row r="984">
      <c r="A984" s="12" t="inlineStr">
        <is>
          <t>Activated-carbon filter</t>
        </is>
      </c>
      <c r="B984" s="12" t="inlineStr"/>
      <c r="C984" s="12" t="inlineStr">
        <is>
          <t>G</t>
        </is>
      </c>
      <c r="D984" s="12" t="inlineStr">
        <is>
          <t>LV power feeder</t>
        </is>
      </c>
      <c r="E984" s="12" t="n">
        <v>480</v>
      </c>
      <c r="F984" s="12" t="n">
        <v>15</v>
      </c>
      <c r="G984" s="12" t="n">
        <v>21.2</v>
      </c>
      <c r="H984" s="12" t="inlineStr">
        <is>
          <t>CCS MV switchgear building (VFDs)</t>
        </is>
      </c>
      <c r="I984" s="12" t="inlineStr">
        <is>
          <t>LV 600 V</t>
        </is>
      </c>
      <c r="J984" s="12" t="inlineStr">
        <is>
          <t>8</t>
        </is>
      </c>
      <c r="K984" s="12" t="n">
        <v>1</v>
      </c>
    </row>
    <row r="985">
      <c r="A985" s="12" t="inlineStr">
        <is>
          <t>BF-A: booster fan (~16 MW)</t>
        </is>
      </c>
      <c r="B985" s="12" t="inlineStr">
        <is>
          <t>BF-A</t>
        </is>
      </c>
      <c r="C985" s="12" t="inlineStr">
        <is>
          <t>G</t>
        </is>
      </c>
      <c r="D985" s="12" t="inlineStr">
        <is>
          <t>Motor 1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2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3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Motor 4 of 4, 15 kW</t>
        </is>
      </c>
      <c r="E988" s="12" t="n">
        <v>480</v>
      </c>
      <c r="F988" s="12" t="n">
        <v>15</v>
      </c>
      <c r="G988" s="12" t="n">
        <v>21.2</v>
      </c>
      <c r="H988" s="12" t="inlineStr">
        <is>
          <t>CCS MV switchgear building (VFDs)</t>
        </is>
      </c>
      <c r="I988" s="12" t="inlineStr">
        <is>
          <t>LV 600 V</t>
        </is>
      </c>
      <c r="J988" s="12" t="inlineStr">
        <is>
          <t>6</t>
        </is>
      </c>
      <c r="K988" s="12" t="n">
        <v>1</v>
      </c>
    </row>
    <row r="989">
      <c r="A989" s="12" t="inlineStr">
        <is>
          <t>BF-A: booster fan (~16 MW)</t>
        </is>
      </c>
      <c r="B989" s="12" t="inlineStr">
        <is>
          <t>BF-A</t>
        </is>
      </c>
      <c r="C989" s="12" t="inlineStr">
        <is>
          <t>G</t>
        </is>
      </c>
      <c r="D989" s="12" t="inlineStr">
        <is>
          <t>480 V welding receptacle 1</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2</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3</t>
        </is>
      </c>
      <c r="E991" s="12" t="n">
        <v>480</v>
      </c>
      <c r="F991" s="12" t="n">
        <v>60</v>
      </c>
      <c r="G991" s="12" t="n">
        <v>76</v>
      </c>
      <c r="H991" s="12" t="inlineStr">
        <is>
          <t>CCS MV switchgear building (VFDs)</t>
        </is>
      </c>
      <c r="I991" s="12" t="inlineStr">
        <is>
          <t>LV 600 V</t>
        </is>
      </c>
      <c r="J991" s="12" t="inlineStr">
        <is>
          <t>2</t>
        </is>
      </c>
      <c r="K991" s="12" t="n">
        <v>1</v>
      </c>
    </row>
    <row r="992">
      <c r="A992" s="12" t="inlineStr">
        <is>
          <t>BF-A: booster fan (~16 MW)</t>
        </is>
      </c>
      <c r="B992" s="12" t="inlineStr">
        <is>
          <t>BF-A</t>
        </is>
      </c>
      <c r="C992" s="12" t="inlineStr">
        <is>
          <t>G</t>
        </is>
      </c>
      <c r="D992" s="12" t="inlineStr">
        <is>
          <t>480 V welding receptacle 4</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Motor 1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2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3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Motor 4 of 4, 15 kW</t>
        </is>
      </c>
      <c r="E996" s="12" t="n">
        <v>480</v>
      </c>
      <c r="F996" s="12" t="n">
        <v>15</v>
      </c>
      <c r="G996" s="12" t="n">
        <v>21.2</v>
      </c>
      <c r="H996" s="12" t="inlineStr">
        <is>
          <t>CCS MV switchgear building (VFDs)</t>
        </is>
      </c>
      <c r="I996" s="12" t="inlineStr">
        <is>
          <t>LV 600 V</t>
        </is>
      </c>
      <c r="J996" s="12" t="inlineStr">
        <is>
          <t>8</t>
        </is>
      </c>
      <c r="K996" s="12" t="n">
        <v>1</v>
      </c>
    </row>
    <row r="997">
      <c r="A997" s="12" t="inlineStr">
        <is>
          <t>BF-B: booster fan (~16 MW)</t>
        </is>
      </c>
      <c r="B997" s="12" t="inlineStr">
        <is>
          <t>BF-B</t>
        </is>
      </c>
      <c r="C997" s="12" t="inlineStr">
        <is>
          <t>G</t>
        </is>
      </c>
      <c r="D997" s="12" t="inlineStr">
        <is>
          <t>480 V welding receptacle 1</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2</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3</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BF-B: booster fan (~16 MW)</t>
        </is>
      </c>
      <c r="B1000" s="12" t="inlineStr">
        <is>
          <t>BF-B</t>
        </is>
      </c>
      <c r="C1000" s="12" t="inlineStr">
        <is>
          <t>G</t>
        </is>
      </c>
      <c r="D1000" s="12" t="inlineStr">
        <is>
          <t>480 V welding receptacle 4</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Motor 1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2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3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Motor 4 of 4, 15 kW</t>
        </is>
      </c>
      <c r="E1004" s="12" t="n">
        <v>480</v>
      </c>
      <c r="F1004" s="12" t="n">
        <v>15</v>
      </c>
      <c r="G1004" s="12" t="n">
        <v>21.2</v>
      </c>
      <c r="H1004" s="12" t="inlineStr">
        <is>
          <t>CCS MV switchgear building (VFDs)</t>
        </is>
      </c>
      <c r="I1004" s="12" t="inlineStr">
        <is>
          <t>LV 600 V</t>
        </is>
      </c>
      <c r="J1004" s="12" t="inlineStr">
        <is>
          <t>10</t>
        </is>
      </c>
      <c r="K1004" s="12" t="n">
        <v>1</v>
      </c>
    </row>
    <row r="1005">
      <c r="A1005" s="12" t="inlineStr">
        <is>
          <t>BF-C: booster fan (~16 MW)</t>
        </is>
      </c>
      <c r="B1005" s="12" t="inlineStr">
        <is>
          <t>BF-C</t>
        </is>
      </c>
      <c r="C1005" s="12" t="inlineStr">
        <is>
          <t>G</t>
        </is>
      </c>
      <c r="D1005" s="12" t="inlineStr">
        <is>
          <t>480 V welding receptacle 1</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2</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3</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BF-C: booster fan (~16 MW)</t>
        </is>
      </c>
      <c r="B1008" s="12" t="inlineStr">
        <is>
          <t>BF-C</t>
        </is>
      </c>
      <c r="C1008" s="12" t="inlineStr">
        <is>
          <t>G</t>
        </is>
      </c>
      <c r="D1008" s="12" t="inlineStr">
        <is>
          <t>480 V welding receptacle 4</t>
        </is>
      </c>
      <c r="E1008" s="12" t="n">
        <v>480</v>
      </c>
      <c r="F1008" s="12" t="n">
        <v>60</v>
      </c>
      <c r="G1008" s="12" t="n">
        <v>76</v>
      </c>
      <c r="H1008" s="12" t="inlineStr">
        <is>
          <t>CCS MV switchgear building (VFDs)</t>
        </is>
      </c>
      <c r="I1008" s="12" t="inlineStr">
        <is>
          <t>LV 600 V</t>
        </is>
      </c>
      <c r="J1008" s="12" t="inlineStr">
        <is>
          <t>2</t>
        </is>
      </c>
      <c r="K1008" s="12" t="n">
        <v>1</v>
      </c>
    </row>
    <row r="1009">
      <c r="A1009" s="12" t="inlineStr">
        <is>
          <t>CCS F&amp;G / control</t>
        </is>
      </c>
      <c r="B1009" s="12" t="inlineStr"/>
      <c r="C1009" s="12" t="inlineStr">
        <is>
          <t>G</t>
        </is>
      </c>
      <c r="D1009" s="12" t="inlineStr">
        <is>
          <t>LV panel / distribution feeder</t>
        </is>
      </c>
      <c r="E1009" s="12" t="n">
        <v>480</v>
      </c>
      <c r="F1009" s="12" t="n">
        <v>40</v>
      </c>
      <c r="G1009" s="12" t="n">
        <v>56.6</v>
      </c>
      <c r="H1009" s="12" t="inlineStr">
        <is>
          <t>CCS MV switchgear building (VFDs)</t>
        </is>
      </c>
      <c r="I1009" s="12" t="inlineStr">
        <is>
          <t>LV 600 V</t>
        </is>
      </c>
      <c r="J1009" s="12" t="inlineStr">
        <is>
          <t>4</t>
        </is>
      </c>
      <c r="K1009" s="12" t="n">
        <v>1</v>
      </c>
    </row>
    <row r="1010">
      <c r="A1010" s="12" t="inlineStr">
        <is>
          <t>CCS MV switchgear building (VFDs)</t>
        </is>
      </c>
      <c r="B1010" s="12" t="inlineStr"/>
      <c r="C1010" s="12" t="inlineStr">
        <is>
          <t>G</t>
        </is>
      </c>
      <c r="D1010" s="12" t="inlineStr">
        <is>
          <t>LV panel / distribution feeder</t>
        </is>
      </c>
      <c r="E1010" s="12" t="n">
        <v>480</v>
      </c>
      <c r="F1010" s="12" t="n">
        <v>109</v>
      </c>
      <c r="G1010" s="12" t="n">
        <v>154.2</v>
      </c>
      <c r="H1010" s="12" t="inlineStr">
        <is>
          <t>CCS MV switchgear building (VFDs)</t>
        </is>
      </c>
      <c r="I1010" s="12" t="inlineStr">
        <is>
          <t>LV 600 V</t>
        </is>
      </c>
      <c r="J1010" s="12" t="inlineStr">
        <is>
          <t>3/0</t>
        </is>
      </c>
      <c r="K1010" s="12" t="n">
        <v>1</v>
      </c>
    </row>
    <row r="1011">
      <c r="A1011" s="12" t="inlineStr">
        <is>
          <t>CCS T-1: 230/13.8 kV</t>
        </is>
      </c>
      <c r="B1011" s="12" t="inlineStr">
        <is>
          <t>CCS T-1</t>
        </is>
      </c>
      <c r="C1011" s="12" t="inlineStr">
        <is>
          <t>G</t>
        </is>
      </c>
      <c r="D1011" s="12" t="inlineStr">
        <is>
          <t>Motor 1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2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3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4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5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T-1: 230/13.8 kV</t>
        </is>
      </c>
      <c r="B1016" s="12" t="inlineStr">
        <is>
          <t>CCS T-1</t>
        </is>
      </c>
      <c r="C1016" s="12" t="inlineStr">
        <is>
          <t>G</t>
        </is>
      </c>
      <c r="D1016" s="12" t="inlineStr">
        <is>
          <t>Motor 6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1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2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3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4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5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T-2: 230/13.8 kV</t>
        </is>
      </c>
      <c r="B1022" s="12" t="inlineStr">
        <is>
          <t>CCS T-2</t>
        </is>
      </c>
      <c r="C1022" s="12" t="inlineStr">
        <is>
          <t>G</t>
        </is>
      </c>
      <c r="D1022" s="12" t="inlineStr">
        <is>
          <t>Motor 6 of 6, 2 kW</t>
        </is>
      </c>
      <c r="E1022" s="12" t="n">
        <v>480</v>
      </c>
      <c r="F1022" s="12" t="n">
        <v>2</v>
      </c>
      <c r="G1022" s="12" t="n">
        <v>2.8</v>
      </c>
      <c r="H1022" s="12" t="inlineStr">
        <is>
          <t>CCS MV switchgear building (VFDs)</t>
        </is>
      </c>
      <c r="I1022" s="12" t="inlineStr">
        <is>
          <t>LV 600 V</t>
        </is>
      </c>
      <c r="J1022" s="12" t="inlineStr">
        <is>
          <t>10</t>
        </is>
      </c>
      <c r="K1022" s="12" t="n">
        <v>1</v>
      </c>
    </row>
    <row r="1023">
      <c r="A1023" s="12" t="inlineStr">
        <is>
          <t>CCS cooling tower (~30 cells): CCS process cooling only</t>
        </is>
      </c>
      <c r="B1023" s="12" t="inlineStr">
        <is>
          <t>CCS-CT</t>
        </is>
      </c>
      <c r="C1023" s="12" t="inlineStr">
        <is>
          <t>G</t>
        </is>
      </c>
      <c r="D1023" s="12" t="inlineStr">
        <is>
          <t>Motor 1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2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3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4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5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6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7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8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9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10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11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12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13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14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15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16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17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18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19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20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21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22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23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24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25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26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27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28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29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Motor 30 of 30, 110 kW (VFD output)</t>
        </is>
      </c>
      <c r="E1052" s="12" t="n">
        <v>480</v>
      </c>
      <c r="F1052" s="12" t="n">
        <v>110</v>
      </c>
      <c r="G1052" s="12" t="n">
        <v>156</v>
      </c>
      <c r="H1052" s="12" t="inlineStr">
        <is>
          <t>CT MCC / VFD e-house</t>
        </is>
      </c>
      <c r="I1052" s="12" t="inlineStr">
        <is>
          <t>LV 600 V</t>
        </is>
      </c>
      <c r="J1052" s="12" t="inlineStr">
        <is>
          <t>3/0</t>
        </is>
      </c>
      <c r="K1052" s="12" t="n">
        <v>1</v>
      </c>
    </row>
    <row r="1053">
      <c r="A1053" s="12" t="inlineStr">
        <is>
          <t>CCS cooling tower (~30 cells): CCS process cooling only</t>
        </is>
      </c>
      <c r="B1053" s="12" t="inlineStr">
        <is>
          <t>CCS-CT</t>
        </is>
      </c>
      <c r="C1053" s="12" t="inlineStr">
        <is>
          <t>G</t>
        </is>
      </c>
      <c r="D1053" s="12" t="inlineStr">
        <is>
          <t>Area / platform lighting circuit 1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2 (12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cooling tower (~30 cells): CCS process cooling only</t>
        </is>
      </c>
      <c r="B1055" s="12" t="inlineStr">
        <is>
          <t>CCS-CT</t>
        </is>
      </c>
      <c r="C1055" s="12" t="inlineStr">
        <is>
          <t>G</t>
        </is>
      </c>
      <c r="D1055" s="12" t="inlineStr">
        <is>
          <t>Area / platform lighting circuit 3 (6 fixtures)</t>
        </is>
      </c>
      <c r="E1055" s="12" t="n">
        <v>480</v>
      </c>
      <c r="F1055" s="12" t="n">
        <v>3</v>
      </c>
      <c r="G1055" s="12" t="n">
        <v>5</v>
      </c>
      <c r="H1055" s="12" t="inlineStr">
        <is>
          <t>CT MCC / VFD e-house</t>
        </is>
      </c>
      <c r="I1055" s="12" t="inlineStr">
        <is>
          <t>LV 600 V</t>
        </is>
      </c>
      <c r="J1055" s="12" t="inlineStr">
        <is>
          <t>10</t>
        </is>
      </c>
      <c r="K1055" s="12" t="n">
        <v>1</v>
      </c>
    </row>
    <row r="1056">
      <c r="A1056" s="12" t="inlineStr">
        <is>
          <t>CCS instrument air</t>
        </is>
      </c>
      <c r="B1056" s="12" t="inlineStr"/>
      <c r="C1056" s="12" t="inlineStr">
        <is>
          <t>G</t>
        </is>
      </c>
      <c r="D1056" s="12" t="inlineStr">
        <is>
          <t>Motor 1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instrument air</t>
        </is>
      </c>
      <c r="B1057" s="12" t="inlineStr"/>
      <c r="C1057" s="12" t="inlineStr">
        <is>
          <t>G</t>
        </is>
      </c>
      <c r="D1057" s="12" t="inlineStr">
        <is>
          <t>Motor 2 of 2, 250 kW</t>
        </is>
      </c>
      <c r="E1057" s="12" t="n">
        <v>480</v>
      </c>
      <c r="F1057" s="12" t="n">
        <v>250</v>
      </c>
      <c r="G1057" s="12" t="n">
        <v>353.8</v>
      </c>
      <c r="H1057" s="12" t="inlineStr">
        <is>
          <t>CCS MV switchgear building (VFDs)</t>
        </is>
      </c>
      <c r="I1057" s="12" t="inlineStr">
        <is>
          <t>LV 600 V</t>
        </is>
      </c>
      <c r="J1057" s="12" t="inlineStr">
        <is>
          <t>4/0</t>
        </is>
      </c>
      <c r="K1057" s="12" t="n">
        <v>2</v>
      </c>
    </row>
    <row r="1058">
      <c r="A1058" s="12" t="inlineStr">
        <is>
          <t>CCS wastewater (DCC + tower blowdown)</t>
        </is>
      </c>
      <c r="B1058" s="12" t="inlineStr"/>
      <c r="C1058" s="12" t="inlineStr">
        <is>
          <t>G</t>
        </is>
      </c>
      <c r="D1058" s="12" t="inlineStr">
        <is>
          <t>Motor 1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2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3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4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5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CCS wastewater (DCC + tower blowdown)</t>
        </is>
      </c>
      <c r="B1063" s="12" t="inlineStr"/>
      <c r="C1063" s="12" t="inlineStr">
        <is>
          <t>G</t>
        </is>
      </c>
      <c r="D1063" s="12" t="inlineStr">
        <is>
          <t>Motor 6 of 6, 15 kW</t>
        </is>
      </c>
      <c r="E1063" s="12" t="n">
        <v>480</v>
      </c>
      <c r="F1063" s="12" t="n">
        <v>15</v>
      </c>
      <c r="G1063" s="12" t="n">
        <v>21.2</v>
      </c>
      <c r="H1063" s="12" t="inlineStr">
        <is>
          <t>CT MCC / VFD e-house</t>
        </is>
      </c>
      <c r="I1063" s="12" t="inlineStr">
        <is>
          <t>LV 600 V</t>
        </is>
      </c>
      <c r="J1063" s="12" t="inlineStr">
        <is>
          <t>10</t>
        </is>
      </c>
      <c r="K1063" s="12" t="n">
        <v>1</v>
      </c>
    </row>
    <row r="1064">
      <c r="A1064" s="12" t="inlineStr">
        <is>
          <t>CO2 compression 3 x ~19 MW + dehydration</t>
        </is>
      </c>
      <c r="B1064" s="12" t="inlineStr"/>
      <c r="C1064" s="12" t="inlineStr">
        <is>
          <t>G</t>
        </is>
      </c>
      <c r="D1064" s="12" t="inlineStr">
        <is>
          <t>Motor 1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2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3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4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5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6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7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8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9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Motor 10 of 10, 30 kW</t>
        </is>
      </c>
      <c r="E1073" s="12" t="n">
        <v>480</v>
      </c>
      <c r="F1073" s="12" t="n">
        <v>30</v>
      </c>
      <c r="G1073" s="12" t="n">
        <v>42.5</v>
      </c>
      <c r="H1073" s="12" t="inlineStr">
        <is>
          <t>CCS MV switchgear building (VFDs)</t>
        </is>
      </c>
      <c r="I1073" s="12" t="inlineStr">
        <is>
          <t>LV 600 V</t>
        </is>
      </c>
      <c r="J1073" s="12" t="inlineStr">
        <is>
          <t>6</t>
        </is>
      </c>
      <c r="K1073" s="12" t="n">
        <v>1</v>
      </c>
    </row>
    <row r="1074">
      <c r="A1074" s="12" t="inlineStr">
        <is>
          <t>CO2 compression 3 x ~19 MW + dehydration</t>
        </is>
      </c>
      <c r="B1074" s="12" t="inlineStr"/>
      <c r="C1074" s="12" t="inlineStr">
        <is>
          <t>G</t>
        </is>
      </c>
      <c r="D1074" s="12" t="inlineStr">
        <is>
          <t>480 V welding receptacle 1</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2</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3</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compression 3 x ~19 MW + dehydration</t>
        </is>
      </c>
      <c r="B1077" s="12" t="inlineStr"/>
      <c r="C1077" s="12" t="inlineStr">
        <is>
          <t>G</t>
        </is>
      </c>
      <c r="D1077" s="12" t="inlineStr">
        <is>
          <t>480 V welding receptacle 4</t>
        </is>
      </c>
      <c r="E1077" s="12" t="n">
        <v>480</v>
      </c>
      <c r="F1077" s="12" t="n">
        <v>60</v>
      </c>
      <c r="G1077" s="12" t="n">
        <v>76</v>
      </c>
      <c r="H1077" s="12" t="inlineStr">
        <is>
          <t>CCS MV switchgear building (VFDs)</t>
        </is>
      </c>
      <c r="I1077" s="12" t="inlineStr">
        <is>
          <t>LV 600 V</t>
        </is>
      </c>
      <c r="J1077" s="12" t="inlineStr">
        <is>
          <t>2</t>
        </is>
      </c>
      <c r="K1077" s="12" t="n">
        <v>1</v>
      </c>
    </row>
    <row r="1078">
      <c r="A1078" s="12" t="inlineStr">
        <is>
          <t>CO2 dehydration: molecular-sieve towers and regeneration heater</t>
        </is>
      </c>
      <c r="B1078" s="12" t="inlineStr"/>
      <c r="C1078" s="12" t="inlineStr">
        <is>
          <t>G</t>
        </is>
      </c>
      <c r="D1078" s="12" t="inlineStr">
        <is>
          <t>Motor 1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2 of 2, 20 kW</t>
        </is>
      </c>
      <c r="E1079" s="12" t="n">
        <v>480</v>
      </c>
      <c r="F1079" s="12" t="n">
        <v>20</v>
      </c>
      <c r="G1079" s="12" t="n">
        <v>28.3</v>
      </c>
      <c r="H1079" s="12" t="inlineStr">
        <is>
          <t>CCS MV switchgear building (VFDs)</t>
        </is>
      </c>
      <c r="I1079" s="12" t="inlineStr">
        <is>
          <t>LV 600 V</t>
        </is>
      </c>
      <c r="J1079" s="12" t="inlineStr">
        <is>
          <t>6</t>
        </is>
      </c>
      <c r="K1079" s="12" t="n">
        <v>1</v>
      </c>
    </row>
    <row r="1080">
      <c r="A1080" s="12" t="inlineStr">
        <is>
          <t>CO2 dehydration: molecular-sieve towers and regeneration heater</t>
        </is>
      </c>
      <c r="B1080" s="12" t="inlineStr"/>
      <c r="C1080" s="12" t="inlineStr">
        <is>
          <t>G</t>
        </is>
      </c>
      <c r="D1080" s="12" t="inlineStr">
        <is>
          <t>Motor 1 of 1, 200 kW</t>
        </is>
      </c>
      <c r="E1080" s="12" t="n">
        <v>480</v>
      </c>
      <c r="F1080" s="12" t="n">
        <v>200</v>
      </c>
      <c r="G1080" s="12" t="n">
        <v>283</v>
      </c>
      <c r="H1080" s="12" t="inlineStr">
        <is>
          <t>CCS MV switchgear building (VFDs)</t>
        </is>
      </c>
      <c r="I1080" s="12" t="inlineStr">
        <is>
          <t>LV 600 V</t>
        </is>
      </c>
      <c r="J1080" s="12" t="inlineStr">
        <is>
          <t>500 kcmil</t>
        </is>
      </c>
      <c r="K1080" s="12" t="n">
        <v>1</v>
      </c>
    </row>
    <row r="1081">
      <c r="A1081" s="12" t="inlineStr">
        <is>
          <t>CO2 dehydration: molecular-sieve towers and regeneration heater</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5: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6: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7: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8: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9: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10: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11: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CO2 dehydration: molecular-sieve towers and regeneration heater</t>
        </is>
      </c>
      <c r="B1092" s="12" t="inlineStr"/>
      <c r="C1092" s="12" t="inlineStr">
        <is>
          <t>G</t>
        </is>
      </c>
      <c r="D1092" s="12" t="inlineStr">
        <is>
          <t>MOV 12: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CONDITIONAL: HP export compressor + metering</t>
        </is>
      </c>
      <c r="B1093" s="12" t="inlineStr"/>
      <c r="C1093" s="12" t="inlineStr">
        <is>
          <t>G</t>
        </is>
      </c>
      <c r="D1093" s="12" t="inlineStr">
        <is>
          <t>Motor 1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2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3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CONDITIONAL: HP export compressor + metering</t>
        </is>
      </c>
      <c r="B1096" s="12" t="inlineStr"/>
      <c r="C1096" s="12" t="inlineStr">
        <is>
          <t>G</t>
        </is>
      </c>
      <c r="D1096" s="12" t="inlineStr">
        <is>
          <t>Motor 4 of 4, 30 kW</t>
        </is>
      </c>
      <c r="E1096" s="12" t="n">
        <v>480</v>
      </c>
      <c r="F1096" s="12" t="n">
        <v>30</v>
      </c>
      <c r="G1096" s="12" t="n">
        <v>42.5</v>
      </c>
      <c r="H1096" s="12" t="inlineStr">
        <is>
          <t>CCS MV switchgear building (VFDs)</t>
        </is>
      </c>
      <c r="I1096" s="12" t="inlineStr">
        <is>
          <t>LV 600 V</t>
        </is>
      </c>
      <c r="J1096" s="12" t="inlineStr">
        <is>
          <t>6</t>
        </is>
      </c>
      <c r="K1096" s="12" t="n">
        <v>1</v>
      </c>
    </row>
    <row r="1097">
      <c r="A1097" s="12" t="inlineStr">
        <is>
          <t>DCC-A pumps + water filter</t>
        </is>
      </c>
      <c r="B1097" s="12" t="inlineStr"/>
      <c r="C1097" s="12" t="inlineStr">
        <is>
          <t>G</t>
        </is>
      </c>
      <c r="D1097" s="12" t="inlineStr">
        <is>
          <t>Motor 1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pumps + water filter</t>
        </is>
      </c>
      <c r="B1098" s="12" t="inlineStr"/>
      <c r="C1098" s="12" t="inlineStr">
        <is>
          <t>G</t>
        </is>
      </c>
      <c r="D1098" s="12" t="inlineStr">
        <is>
          <t>Motor 2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DCC-A: direct-contact cooler (quench)</t>
        </is>
      </c>
      <c r="B1099" s="12" t="inlineStr">
        <is>
          <t>DCC-A</t>
        </is>
      </c>
      <c r="C1099" s="12" t="inlineStr">
        <is>
          <t>G</t>
        </is>
      </c>
      <c r="D1099" s="12" t="inlineStr">
        <is>
          <t>LV power feeder</t>
        </is>
      </c>
      <c r="E1099" s="12" t="n">
        <v>480</v>
      </c>
      <c r="F1099" s="12" t="n">
        <v>15</v>
      </c>
      <c r="G1099" s="12" t="n">
        <v>21.2</v>
      </c>
      <c r="H1099" s="12" t="inlineStr">
        <is>
          <t>CCS MV switchgear building (VFDs)</t>
        </is>
      </c>
      <c r="I1099" s="12" t="inlineStr">
        <is>
          <t>LV 600 V</t>
        </is>
      </c>
      <c r="J1099" s="12" t="inlineStr">
        <is>
          <t>6</t>
        </is>
      </c>
      <c r="K1099" s="12" t="n">
        <v>1</v>
      </c>
    </row>
    <row r="1100">
      <c r="A1100" s="12" t="inlineStr">
        <is>
          <t>DCC-A: direct-contact cooler (quench)</t>
        </is>
      </c>
      <c r="B1100" s="12" t="inlineStr">
        <is>
          <t>DCC-A</t>
        </is>
      </c>
      <c r="C1100" s="12" t="inlineStr">
        <is>
          <t>G</t>
        </is>
      </c>
      <c r="D1100" s="12" t="inlineStr">
        <is>
          <t>Area / platform lighting circuit 1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DCC-B pumps + water filter</t>
        </is>
      </c>
      <c r="B1101" s="12" t="inlineStr"/>
      <c r="C1101" s="12" t="inlineStr">
        <is>
          <t>G</t>
        </is>
      </c>
      <c r="D1101" s="12" t="inlineStr">
        <is>
          <t>Motor 1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pumps + water filter</t>
        </is>
      </c>
      <c r="B1102" s="12" t="inlineStr"/>
      <c r="C1102" s="12" t="inlineStr">
        <is>
          <t>G</t>
        </is>
      </c>
      <c r="D1102" s="12" t="inlineStr">
        <is>
          <t>Motor 2 of 2, 200 kW</t>
        </is>
      </c>
      <c r="E1102" s="12" t="n">
        <v>480</v>
      </c>
      <c r="F1102" s="12" t="n">
        <v>200</v>
      </c>
      <c r="G1102" s="12" t="n">
        <v>283</v>
      </c>
      <c r="H1102" s="12" t="inlineStr">
        <is>
          <t>CCS MV switchgear building (VFDs)</t>
        </is>
      </c>
      <c r="I1102" s="12" t="inlineStr">
        <is>
          <t>LV 600 V</t>
        </is>
      </c>
      <c r="J1102" s="12" t="inlineStr">
        <is>
          <t>500 kcmil</t>
        </is>
      </c>
      <c r="K1102" s="12" t="n">
        <v>1</v>
      </c>
    </row>
    <row r="1103">
      <c r="A1103" s="12" t="inlineStr">
        <is>
          <t>DCC-B: direct-contact cooler (quench)</t>
        </is>
      </c>
      <c r="B1103" s="12" t="inlineStr">
        <is>
          <t>DCC-B</t>
        </is>
      </c>
      <c r="C1103" s="12" t="inlineStr">
        <is>
          <t>G</t>
        </is>
      </c>
      <c r="D1103" s="12" t="inlineStr">
        <is>
          <t>LV power feeder</t>
        </is>
      </c>
      <c r="E1103" s="12" t="n">
        <v>480</v>
      </c>
      <c r="F1103" s="12" t="n">
        <v>15</v>
      </c>
      <c r="G1103" s="12" t="n">
        <v>21.2</v>
      </c>
      <c r="H1103" s="12" t="inlineStr">
        <is>
          <t>CCS MV switchgear building (VFDs)</t>
        </is>
      </c>
      <c r="I1103" s="12" t="inlineStr">
        <is>
          <t>LV 600 V</t>
        </is>
      </c>
      <c r="J1103" s="12" t="inlineStr">
        <is>
          <t>8</t>
        </is>
      </c>
      <c r="K1103" s="12" t="n">
        <v>1</v>
      </c>
    </row>
    <row r="1104">
      <c r="A1104" s="12" t="inlineStr">
        <is>
          <t>DCC-B: direct-contact cooler (quench)</t>
        </is>
      </c>
      <c r="B1104" s="12" t="inlineStr">
        <is>
          <t>DCC-B</t>
        </is>
      </c>
      <c r="C1104" s="12" t="inlineStr">
        <is>
          <t>G</t>
        </is>
      </c>
      <c r="D1104" s="12" t="inlineStr">
        <is>
          <t>Area / platform lighting circuit 1 (8 fixtures)</t>
        </is>
      </c>
      <c r="E1104" s="12" t="n">
        <v>480</v>
      </c>
      <c r="F1104" s="12" t="n">
        <v>3</v>
      </c>
      <c r="G1104" s="12" t="n">
        <v>5</v>
      </c>
      <c r="H1104" s="12" t="inlineStr">
        <is>
          <t>CCS MV switchgear building (VFDs)</t>
        </is>
      </c>
      <c r="I1104" s="12" t="inlineStr">
        <is>
          <t>LV 600 V</t>
        </is>
      </c>
      <c r="J1104" s="12" t="inlineStr">
        <is>
          <t>10</t>
        </is>
      </c>
      <c r="K1104" s="12" t="n">
        <v>1</v>
      </c>
    </row>
    <row r="1105">
      <c r="A1105" s="12" t="inlineStr">
        <is>
          <t>DCC-C pumps + water filter</t>
        </is>
      </c>
      <c r="B1105" s="12" t="inlineStr"/>
      <c r="C1105" s="12" t="inlineStr">
        <is>
          <t>G</t>
        </is>
      </c>
      <c r="D1105" s="12" t="inlineStr">
        <is>
          <t>Motor 1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pumps + water filter</t>
        </is>
      </c>
      <c r="B1106" s="12" t="inlineStr"/>
      <c r="C1106" s="12" t="inlineStr">
        <is>
          <t>G</t>
        </is>
      </c>
      <c r="D1106" s="12" t="inlineStr">
        <is>
          <t>Motor 2 of 2, 200 kW</t>
        </is>
      </c>
      <c r="E1106" s="12" t="n">
        <v>480</v>
      </c>
      <c r="F1106" s="12" t="n">
        <v>200</v>
      </c>
      <c r="G1106" s="12" t="n">
        <v>283</v>
      </c>
      <c r="H1106" s="12" t="inlineStr">
        <is>
          <t>CCS MV switchgear building (VFDs)</t>
        </is>
      </c>
      <c r="I1106" s="12" t="inlineStr">
        <is>
          <t>LV 600 V</t>
        </is>
      </c>
      <c r="J1106" s="12" t="inlineStr">
        <is>
          <t>500 kcmil</t>
        </is>
      </c>
      <c r="K1106" s="12" t="n">
        <v>1</v>
      </c>
    </row>
    <row r="1107">
      <c r="A1107" s="12" t="inlineStr">
        <is>
          <t>DCC-C: direct-contact cooler (quench)</t>
        </is>
      </c>
      <c r="B1107" s="12" t="inlineStr">
        <is>
          <t>DCC-C</t>
        </is>
      </c>
      <c r="C1107" s="12" t="inlineStr">
        <is>
          <t>G</t>
        </is>
      </c>
      <c r="D1107" s="12" t="inlineStr">
        <is>
          <t>LV power feeder</t>
        </is>
      </c>
      <c r="E1107" s="12" t="n">
        <v>480</v>
      </c>
      <c r="F1107" s="12" t="n">
        <v>15</v>
      </c>
      <c r="G1107" s="12" t="n">
        <v>21.2</v>
      </c>
      <c r="H1107" s="12" t="inlineStr">
        <is>
          <t>CCS MV switchgear building (VFDs)</t>
        </is>
      </c>
      <c r="I1107" s="12" t="inlineStr">
        <is>
          <t>LV 600 V</t>
        </is>
      </c>
      <c r="J1107" s="12" t="inlineStr">
        <is>
          <t>10</t>
        </is>
      </c>
      <c r="K1107" s="12" t="n">
        <v>1</v>
      </c>
    </row>
    <row r="1108">
      <c r="A1108" s="12" t="inlineStr">
        <is>
          <t>DCC-C: direct-contact cooler (quench)</t>
        </is>
      </c>
      <c r="B1108" s="12" t="inlineStr">
        <is>
          <t>DCC-C</t>
        </is>
      </c>
      <c r="C1108" s="12" t="inlineStr">
        <is>
          <t>G</t>
        </is>
      </c>
      <c r="D1108" s="12" t="inlineStr">
        <is>
          <t>Area / platform lighting circuit 1 (8 fixtures)</t>
        </is>
      </c>
      <c r="E1108" s="12" t="n">
        <v>480</v>
      </c>
      <c r="F1108" s="12" t="n">
        <v>3</v>
      </c>
      <c r="G1108" s="12" t="n">
        <v>5</v>
      </c>
      <c r="H1108" s="12" t="inlineStr">
        <is>
          <t>CCS MV switchgear building (VFDs)</t>
        </is>
      </c>
      <c r="I1108" s="12" t="inlineStr">
        <is>
          <t>LV 600 V</t>
        </is>
      </c>
      <c r="J1108" s="12" t="inlineStr">
        <is>
          <t>10</t>
        </is>
      </c>
      <c r="K1108" s="12" t="n">
        <v>1</v>
      </c>
    </row>
    <row r="1109">
      <c r="A1109" s="12" t="inlineStr">
        <is>
          <t>DMP-A: diverter / bypass damper</t>
        </is>
      </c>
      <c r="B1109" s="12" t="inlineStr">
        <is>
          <t>DMP-A</t>
        </is>
      </c>
      <c r="C1109" s="12" t="inlineStr">
        <is>
          <t>G</t>
        </is>
      </c>
      <c r="D1109" s="12" t="inlineStr">
        <is>
          <t>Motor 1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DMP-A: diverter / bypass damper</t>
        </is>
      </c>
      <c r="B1110" s="12" t="inlineStr">
        <is>
          <t>DMP-A</t>
        </is>
      </c>
      <c r="C1110" s="12" t="inlineStr">
        <is>
          <t>G</t>
        </is>
      </c>
      <c r="D1110" s="12" t="inlineStr">
        <is>
          <t>Motor 2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1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DMP-B: diverter / bypass damper</t>
        </is>
      </c>
      <c r="B1112" s="12" t="inlineStr">
        <is>
          <t>DMP-B</t>
        </is>
      </c>
      <c r="C1112" s="12" t="inlineStr">
        <is>
          <t>G</t>
        </is>
      </c>
      <c r="D1112" s="12" t="inlineStr">
        <is>
          <t>Motor 2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1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DMP-C: diverter / bypass damper</t>
        </is>
      </c>
      <c r="B1114" s="12" t="inlineStr">
        <is>
          <t>DMP-C</t>
        </is>
      </c>
      <c r="C1114" s="12" t="inlineStr">
        <is>
          <t>G</t>
        </is>
      </c>
      <c r="D1114" s="12" t="inlineStr">
        <is>
          <t>Motor 2 of 2, 15 kW</t>
        </is>
      </c>
      <c r="E1114" s="12" t="n">
        <v>480</v>
      </c>
      <c r="F1114" s="12" t="n">
        <v>15</v>
      </c>
      <c r="G1114" s="12" t="n">
        <v>21.2</v>
      </c>
      <c r="H1114" s="12" t="inlineStr">
        <is>
          <t>CCS MV switchgear building (VFDs)</t>
        </is>
      </c>
      <c r="I1114" s="12" t="inlineStr">
        <is>
          <t>LV 600 V</t>
        </is>
      </c>
      <c r="J1114" s="12" t="inlineStr">
        <is>
          <t>2</t>
        </is>
      </c>
      <c r="K1114" s="12" t="n">
        <v>1</v>
      </c>
    </row>
    <row r="1115">
      <c r="A1115" s="12" t="inlineStr">
        <is>
          <t>RB-A: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RB-A: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RB-B: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RB-C: reboiler (LP steam from ST extraction)</t>
        </is>
      </c>
      <c r="B1129" s="12" t="inlineStr"/>
      <c r="C1129" s="12" t="inlineStr">
        <is>
          <t>G</t>
        </is>
      </c>
      <c r="D1129" s="12" t="inlineStr">
        <is>
          <t>LV power feeder</t>
        </is>
      </c>
      <c r="E1129" s="12" t="n">
        <v>480</v>
      </c>
      <c r="F1129" s="12" t="n">
        <v>10</v>
      </c>
      <c r="G1129" s="12" t="n">
        <v>14.2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1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Reclaimer (thermal, intermittent)</t>
        </is>
      </c>
      <c r="B1131" s="12" t="inlineStr"/>
      <c r="C1131" s="12" t="inlineStr">
        <is>
          <t>G</t>
        </is>
      </c>
      <c r="D1131" s="12" t="inlineStr">
        <is>
          <t>Motor 2 of 2,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1: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2: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3: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4: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5: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MOV 6: power</t>
        </is>
      </c>
      <c r="E1137" s="12" t="n">
        <v>480</v>
      </c>
      <c r="F1137" s="12" t="n">
        <v>2.5</v>
      </c>
      <c r="G1137" s="12" t="n">
        <v>3.5</v>
      </c>
      <c r="H1137" s="12" t="inlineStr">
        <is>
          <t>CCS MV switchgear building (VFDs)</t>
        </is>
      </c>
      <c r="I1137" s="12" t="inlineStr">
        <is>
          <t>LV 600 V</t>
        </is>
      </c>
      <c r="J1137" s="12" t="inlineStr">
        <is>
          <t>10</t>
        </is>
      </c>
      <c r="K1137" s="12" t="n">
        <v>1</v>
      </c>
    </row>
    <row r="1138">
      <c r="A1138" s="12" t="inlineStr">
        <is>
          <t>STR-A: stripper / regenerator (45 ft dia x 207 ft)</t>
        </is>
      </c>
      <c r="B1138" s="12" t="inlineStr">
        <is>
          <t>STR-A</t>
        </is>
      </c>
      <c r="C1138" s="12" t="inlineStr">
        <is>
          <t>G</t>
        </is>
      </c>
      <c r="D1138" s="12" t="inlineStr">
        <is>
          <t>LV power feeder</t>
        </is>
      </c>
      <c r="E1138" s="12" t="n">
        <v>480</v>
      </c>
      <c r="F1138" s="12" t="n">
        <v>30</v>
      </c>
      <c r="G1138" s="12" t="n">
        <v>42.5</v>
      </c>
      <c r="H1138" s="12" t="inlineStr">
        <is>
          <t>CCS MV switchgear building (VFDs)</t>
        </is>
      </c>
      <c r="I1138" s="12" t="inlineStr">
        <is>
          <t>LV 600 V</t>
        </is>
      </c>
      <c r="J1138" s="12" t="inlineStr">
        <is>
          <t>6</t>
        </is>
      </c>
      <c r="K1138" s="12" t="n">
        <v>1</v>
      </c>
    </row>
    <row r="1139">
      <c r="A1139" s="12" t="inlineStr">
        <is>
          <t>STR-A: stripper / regenerator (45 ft dia x 207 ft)</t>
        </is>
      </c>
      <c r="B1139" s="12" t="inlineStr">
        <is>
          <t>STR-A</t>
        </is>
      </c>
      <c r="C1139" s="12" t="inlineStr">
        <is>
          <t>G</t>
        </is>
      </c>
      <c r="D1139" s="12" t="inlineStr">
        <is>
          <t>Area / platform lighting circuit 1 (12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Area / platform lighting circuit 2 (8 fixtures)</t>
        </is>
      </c>
      <c r="E1140" s="12" t="n">
        <v>480</v>
      </c>
      <c r="F1140" s="12" t="n">
        <v>3</v>
      </c>
      <c r="G1140" s="12" t="n">
        <v>5</v>
      </c>
      <c r="H1140" s="12" t="inlineStr">
        <is>
          <t>CCS MV switchgear building (VFDs)</t>
        </is>
      </c>
      <c r="I1140" s="12" t="inlineStr">
        <is>
          <t>LV 600 V</t>
        </is>
      </c>
      <c r="J1140" s="12" t="inlineStr">
        <is>
          <t>10</t>
        </is>
      </c>
      <c r="K1140" s="12" t="n">
        <v>1</v>
      </c>
    </row>
    <row r="1141">
      <c r="A1141" s="12" t="inlineStr">
        <is>
          <t>STR-A: stripper / regenerator (45 ft dia x 207 ft)</t>
        </is>
      </c>
      <c r="B1141" s="12" t="inlineStr">
        <is>
          <t>STR-A</t>
        </is>
      </c>
      <c r="C1141" s="12" t="inlineStr">
        <is>
          <t>G</t>
        </is>
      </c>
      <c r="D1141" s="12" t="inlineStr">
        <is>
          <t>480 V welding receptacle 1</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2</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3</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STR-A: stripper / regenerator (45 ft dia x 207 ft)</t>
        </is>
      </c>
      <c r="B1144" s="12" t="inlineStr">
        <is>
          <t>STR-A</t>
        </is>
      </c>
      <c r="C1144" s="12" t="inlineStr">
        <is>
          <t>G</t>
        </is>
      </c>
      <c r="D1144" s="12" t="inlineStr">
        <is>
          <t>480 V welding receptacle 4</t>
        </is>
      </c>
      <c r="E1144" s="12" t="n">
        <v>480</v>
      </c>
      <c r="F1144" s="12" t="n">
        <v>60</v>
      </c>
      <c r="G1144" s="12" t="n">
        <v>76</v>
      </c>
      <c r="H1144" s="12" t="inlineStr">
        <is>
          <t>CCS MV switchgear building (VFDs)</t>
        </is>
      </c>
      <c r="I1144" s="12" t="inlineStr">
        <is>
          <t>LV 600 V</t>
        </is>
      </c>
      <c r="J1144" s="12" t="inlineStr">
        <is>
          <t>2</t>
        </is>
      </c>
      <c r="K1144" s="12" t="n">
        <v>1</v>
      </c>
    </row>
    <row r="1145">
      <c r="A1145" s="12" t="inlineStr">
        <is>
          <t>STR-B: stripper / regenerator (45 ft dia x 207 ft)</t>
        </is>
      </c>
      <c r="B1145" s="12" t="inlineStr">
        <is>
          <t>STR-B</t>
        </is>
      </c>
      <c r="C1145" s="12" t="inlineStr">
        <is>
          <t>G</t>
        </is>
      </c>
      <c r="D1145" s="12" t="inlineStr">
        <is>
          <t>MOV 1: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2: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3: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4: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5: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MOV 6: power</t>
        </is>
      </c>
      <c r="E1150" s="12" t="n">
        <v>480</v>
      </c>
      <c r="F1150" s="12" t="n">
        <v>2.5</v>
      </c>
      <c r="G1150" s="12" t="n">
        <v>3.5</v>
      </c>
      <c r="H1150" s="12" t="inlineStr">
        <is>
          <t>CCS MV switchgear building (VFDs)</t>
        </is>
      </c>
      <c r="I1150" s="12" t="inlineStr">
        <is>
          <t>LV 600 V</t>
        </is>
      </c>
      <c r="J1150" s="12" t="inlineStr">
        <is>
          <t>10</t>
        </is>
      </c>
      <c r="K1150" s="12" t="n">
        <v>1</v>
      </c>
    </row>
    <row r="1151">
      <c r="A1151" s="12" t="inlineStr">
        <is>
          <t>STR-B: stripper / regenerator (45 ft dia x 207 ft)</t>
        </is>
      </c>
      <c r="B1151" s="12" t="inlineStr">
        <is>
          <t>STR-B</t>
        </is>
      </c>
      <c r="C1151" s="12" t="inlineStr">
        <is>
          <t>G</t>
        </is>
      </c>
      <c r="D1151" s="12" t="inlineStr">
        <is>
          <t>LV power feeder</t>
        </is>
      </c>
      <c r="E1151" s="12" t="n">
        <v>480</v>
      </c>
      <c r="F1151" s="12" t="n">
        <v>30</v>
      </c>
      <c r="G1151" s="12" t="n">
        <v>42.5</v>
      </c>
      <c r="H1151" s="12" t="inlineStr">
        <is>
          <t>CCS MV switchgear building (VFDs)</t>
        </is>
      </c>
      <c r="I1151" s="12" t="inlineStr">
        <is>
          <t>LV 600 V</t>
        </is>
      </c>
      <c r="J1151" s="12" t="inlineStr">
        <is>
          <t>6</t>
        </is>
      </c>
      <c r="K1151" s="12" t="n">
        <v>1</v>
      </c>
    </row>
    <row r="1152">
      <c r="A1152" s="12" t="inlineStr">
        <is>
          <t>STR-B: stripper / regenerator (45 ft dia x 207 ft)</t>
        </is>
      </c>
      <c r="B1152" s="12" t="inlineStr">
        <is>
          <t>STR-B</t>
        </is>
      </c>
      <c r="C1152" s="12" t="inlineStr">
        <is>
          <t>G</t>
        </is>
      </c>
      <c r="D1152" s="12" t="inlineStr">
        <is>
          <t>Area / platform lighting circuit 1 (12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Area / platform lighting circuit 2 (8 fixtures)</t>
        </is>
      </c>
      <c r="E1153" s="12" t="n">
        <v>480</v>
      </c>
      <c r="F1153" s="12" t="n">
        <v>3</v>
      </c>
      <c r="G1153" s="12" t="n">
        <v>5</v>
      </c>
      <c r="H1153" s="12" t="inlineStr">
        <is>
          <t>CCS MV switchgear building (VFDs)</t>
        </is>
      </c>
      <c r="I1153" s="12" t="inlineStr">
        <is>
          <t>LV 600 V</t>
        </is>
      </c>
      <c r="J1153" s="12" t="inlineStr">
        <is>
          <t>10</t>
        </is>
      </c>
      <c r="K1153" s="12" t="n">
        <v>1</v>
      </c>
    </row>
    <row r="1154">
      <c r="A1154" s="12" t="inlineStr">
        <is>
          <t>STR-B: stripper / regenerator (45 ft dia x 207 ft)</t>
        </is>
      </c>
      <c r="B1154" s="12" t="inlineStr">
        <is>
          <t>STR-B</t>
        </is>
      </c>
      <c r="C1154" s="12" t="inlineStr">
        <is>
          <t>G</t>
        </is>
      </c>
      <c r="D1154" s="12" t="inlineStr">
        <is>
          <t>480 V welding receptacle 1</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2</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3</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STR-B: stripper / regenerator (45 ft dia x 207 ft)</t>
        </is>
      </c>
      <c r="B1157" s="12" t="inlineStr">
        <is>
          <t>STR-B</t>
        </is>
      </c>
      <c r="C1157" s="12" t="inlineStr">
        <is>
          <t>G</t>
        </is>
      </c>
      <c r="D1157" s="12" t="inlineStr">
        <is>
          <t>480 V welding receptacle 4</t>
        </is>
      </c>
      <c r="E1157" s="12" t="n">
        <v>480</v>
      </c>
      <c r="F1157" s="12" t="n">
        <v>60</v>
      </c>
      <c r="G1157" s="12" t="n">
        <v>76</v>
      </c>
      <c r="H1157" s="12" t="inlineStr">
        <is>
          <t>CCS MV switchgear building (VFDs)</t>
        </is>
      </c>
      <c r="I1157" s="12" t="inlineStr">
        <is>
          <t>LV 600 V</t>
        </is>
      </c>
      <c r="J1157" s="12" t="inlineStr">
        <is>
          <t>2</t>
        </is>
      </c>
      <c r="K1157" s="12" t="n">
        <v>1</v>
      </c>
    </row>
    <row r="1158">
      <c r="A1158" s="12" t="inlineStr">
        <is>
          <t>STR-C: stripper / regenerator (45 ft dia x 207 ft)</t>
        </is>
      </c>
      <c r="B1158" s="12" t="inlineStr">
        <is>
          <t>STR-C</t>
        </is>
      </c>
      <c r="C1158" s="12" t="inlineStr">
        <is>
          <t>G</t>
        </is>
      </c>
      <c r="D1158" s="12" t="inlineStr">
        <is>
          <t>MOV 1: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2: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3: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4: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5: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MOV 6: power</t>
        </is>
      </c>
      <c r="E1163" s="12" t="n">
        <v>480</v>
      </c>
      <c r="F1163" s="12" t="n">
        <v>2.5</v>
      </c>
      <c r="G1163" s="12" t="n">
        <v>3.5</v>
      </c>
      <c r="H1163" s="12" t="inlineStr">
        <is>
          <t>CCS MV switchgear building (VFDs)</t>
        </is>
      </c>
      <c r="I1163" s="12" t="inlineStr">
        <is>
          <t>LV 600 V</t>
        </is>
      </c>
      <c r="J1163" s="12" t="inlineStr">
        <is>
          <t>10</t>
        </is>
      </c>
      <c r="K1163" s="12" t="n">
        <v>1</v>
      </c>
    </row>
    <row r="1164">
      <c r="A1164" s="12" t="inlineStr">
        <is>
          <t>STR-C: stripper / regenerator (45 ft dia x 207 ft)</t>
        </is>
      </c>
      <c r="B1164" s="12" t="inlineStr">
        <is>
          <t>STR-C</t>
        </is>
      </c>
      <c r="C1164" s="12" t="inlineStr">
        <is>
          <t>G</t>
        </is>
      </c>
      <c r="D1164" s="12" t="inlineStr">
        <is>
          <t>LV power feeder</t>
        </is>
      </c>
      <c r="E1164" s="12" t="n">
        <v>480</v>
      </c>
      <c r="F1164" s="12" t="n">
        <v>30</v>
      </c>
      <c r="G1164" s="12" t="n">
        <v>42.5</v>
      </c>
      <c r="H1164" s="12" t="inlineStr">
        <is>
          <t>CCS MV switchgear building (VFDs)</t>
        </is>
      </c>
      <c r="I1164" s="12" t="inlineStr">
        <is>
          <t>LV 600 V</t>
        </is>
      </c>
      <c r="J1164" s="12" t="inlineStr">
        <is>
          <t>6</t>
        </is>
      </c>
      <c r="K1164" s="12" t="n">
        <v>1</v>
      </c>
    </row>
    <row r="1165">
      <c r="A1165" s="12" t="inlineStr">
        <is>
          <t>STR-C: stripper / regenerator (45 ft dia x 207 ft)</t>
        </is>
      </c>
      <c r="B1165" s="12" t="inlineStr">
        <is>
          <t>STR-C</t>
        </is>
      </c>
      <c r="C1165" s="12" t="inlineStr">
        <is>
          <t>G</t>
        </is>
      </c>
      <c r="D1165" s="12" t="inlineStr">
        <is>
          <t>Area / platform lighting circuit 1 (12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Area / platform lighting circuit 2 (8 fixtures)</t>
        </is>
      </c>
      <c r="E1166" s="12" t="n">
        <v>480</v>
      </c>
      <c r="F1166" s="12" t="n">
        <v>3</v>
      </c>
      <c r="G1166" s="12" t="n">
        <v>5</v>
      </c>
      <c r="H1166" s="12" t="inlineStr">
        <is>
          <t>CCS MV switchgear building (VFDs)</t>
        </is>
      </c>
      <c r="I1166" s="12" t="inlineStr">
        <is>
          <t>LV 600 V</t>
        </is>
      </c>
      <c r="J1166" s="12" t="inlineStr">
        <is>
          <t>10</t>
        </is>
      </c>
      <c r="K1166" s="12" t="n">
        <v>1</v>
      </c>
    </row>
    <row r="1167">
      <c r="A1167" s="12" t="inlineStr">
        <is>
          <t>STR-C: stripper / regenerator (45 ft dia x 207 ft)</t>
        </is>
      </c>
      <c r="B1167" s="12" t="inlineStr">
        <is>
          <t>STR-C</t>
        </is>
      </c>
      <c r="C1167" s="12" t="inlineStr">
        <is>
          <t>G</t>
        </is>
      </c>
      <c r="D1167" s="12" t="inlineStr">
        <is>
          <t>480 V welding receptacle 1</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2</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3</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STR-C: stripper / regenerator (45 ft dia x 207 ft)</t>
        </is>
      </c>
      <c r="B1170" s="12" t="inlineStr">
        <is>
          <t>STR-C</t>
        </is>
      </c>
      <c r="C1170" s="12" t="inlineStr">
        <is>
          <t>G</t>
        </is>
      </c>
      <c r="D1170" s="12" t="inlineStr">
        <is>
          <t>480 V welding receptacle 4</t>
        </is>
      </c>
      <c r="E1170" s="12" t="n">
        <v>480</v>
      </c>
      <c r="F1170" s="12" t="n">
        <v>60</v>
      </c>
      <c r="G1170" s="12" t="n">
        <v>76</v>
      </c>
      <c r="H1170" s="12" t="inlineStr">
        <is>
          <t>CCS MV switchgear building (VFDs)</t>
        </is>
      </c>
      <c r="I1170" s="12" t="inlineStr">
        <is>
          <t>LV 600 V</t>
        </is>
      </c>
      <c r="J1170" s="12" t="inlineStr">
        <is>
          <t>2</t>
        </is>
      </c>
      <c r="K1170" s="12" t="n">
        <v>1</v>
      </c>
    </row>
    <row r="1171">
      <c r="A1171" s="12" t="inlineStr">
        <is>
          <t>Solvent + NaOH storage</t>
        </is>
      </c>
      <c r="B1171" s="12" t="inlineStr"/>
      <c r="C1171" s="12" t="inlineStr">
        <is>
          <t>G</t>
        </is>
      </c>
      <c r="D1171" s="12" t="inlineStr">
        <is>
          <t>Motor 1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2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3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Solvent + NaOH storage</t>
        </is>
      </c>
      <c r="B1174" s="12" t="inlineStr"/>
      <c r="C1174" s="12" t="inlineStr">
        <is>
          <t>G</t>
        </is>
      </c>
      <c r="D1174" s="12" t="inlineStr">
        <is>
          <t>Motor 4 of 4, 15 kW</t>
        </is>
      </c>
      <c r="E1174" s="12" t="n">
        <v>480</v>
      </c>
      <c r="F1174" s="12" t="n">
        <v>15</v>
      </c>
      <c r="G1174" s="12" t="n">
        <v>21.2</v>
      </c>
      <c r="H1174" s="12" t="inlineStr">
        <is>
          <t>CCS MV switchgear building (VFDs)</t>
        </is>
      </c>
      <c r="I1174" s="12" t="inlineStr">
        <is>
          <t>LV 600 V</t>
        </is>
      </c>
      <c r="J1174" s="12" t="inlineStr">
        <is>
          <t>10</t>
        </is>
      </c>
      <c r="K1174" s="12" t="n">
        <v>1</v>
      </c>
    </row>
    <row r="1175">
      <c r="A1175" s="12" t="inlineStr">
        <is>
          <t>Water-wash pumps A</t>
        </is>
      </c>
      <c r="B1175" s="12" t="inlineStr"/>
      <c r="C1175" s="12" t="inlineStr">
        <is>
          <t>G</t>
        </is>
      </c>
      <c r="D1175" s="12" t="inlineStr">
        <is>
          <t>Motor 1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A</t>
        </is>
      </c>
      <c r="B1176" s="12" t="inlineStr"/>
      <c r="C1176" s="12" t="inlineStr">
        <is>
          <t>G</t>
        </is>
      </c>
      <c r="D1176" s="12" t="inlineStr">
        <is>
          <t>Motor 2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1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B</t>
        </is>
      </c>
      <c r="B1178" s="12" t="inlineStr"/>
      <c r="C1178" s="12" t="inlineStr">
        <is>
          <t>G</t>
        </is>
      </c>
      <c r="D1178" s="12" t="inlineStr">
        <is>
          <t>Motor 2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1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Water-wash pumps C</t>
        </is>
      </c>
      <c r="B1180" s="12" t="inlineStr"/>
      <c r="C1180" s="12" t="inlineStr">
        <is>
          <t>G</t>
        </is>
      </c>
      <c r="D1180" s="12" t="inlineStr">
        <is>
          <t>Motor 2 of 2, 110 kW</t>
        </is>
      </c>
      <c r="E1180" s="12" t="n">
        <v>480</v>
      </c>
      <c r="F1180" s="12" t="n">
        <v>110</v>
      </c>
      <c r="G1180" s="12" t="n">
        <v>155.7</v>
      </c>
      <c r="H1180" s="12" t="inlineStr">
        <is>
          <t>CCS MV switchgear building (VFDs)</t>
        </is>
      </c>
      <c r="I1180" s="12" t="inlineStr">
        <is>
          <t>LV 600 V</t>
        </is>
      </c>
      <c r="J1180" s="12" t="inlineStr">
        <is>
          <t>3/0</t>
        </is>
      </c>
      <c r="K1180" s="12" t="n">
        <v>1</v>
      </c>
    </row>
    <row r="1181">
      <c r="A1181" s="12" t="inlineStr">
        <is>
          <t>BF-A: booster fan (~16 MW)</t>
        </is>
      </c>
      <c r="B1181" s="12" t="inlineStr">
        <is>
          <t>BF-A</t>
        </is>
      </c>
      <c r="C1181" s="12" t="inlineStr">
        <is>
          <t>G</t>
        </is>
      </c>
      <c r="D1181" s="12" t="inlineStr">
        <is>
          <t>Booster fan BF-A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BF-B: booster fan (~16 MW)</t>
        </is>
      </c>
      <c r="B1182" s="12" t="inlineStr">
        <is>
          <t>BF-B</t>
        </is>
      </c>
      <c r="C1182" s="12" t="inlineStr">
        <is>
          <t>G</t>
        </is>
      </c>
      <c r="D1182" s="12" t="inlineStr">
        <is>
          <t>Booster fan BF-B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BF-C: booster fan (~16 MW)</t>
        </is>
      </c>
      <c r="B1183" s="12" t="inlineStr">
        <is>
          <t>BF-C</t>
        </is>
      </c>
      <c r="C1183" s="12" t="inlineStr">
        <is>
          <t>G</t>
        </is>
      </c>
      <c r="D1183" s="12" t="inlineStr">
        <is>
          <t>Booster fan BF-C (MV VFD output)</t>
        </is>
      </c>
      <c r="E1183" s="12" t="n">
        <v>13800</v>
      </c>
      <c r="F1183" s="12" t="n">
        <v>16000</v>
      </c>
      <c r="G1183" s="12" t="n">
        <v>744</v>
      </c>
      <c r="H1183" s="12" t="inlineStr">
        <is>
          <t>CCS MV switchgear building (VFDs)</t>
        </is>
      </c>
      <c r="I1183" s="12" t="inlineStr">
        <is>
          <t>MV 15 kV</t>
        </is>
      </c>
      <c r="J1183" s="12" t="inlineStr">
        <is>
          <t>750 kcmil</t>
        </is>
      </c>
      <c r="K1183" s="12" t="n">
        <v>2</v>
      </c>
    </row>
    <row r="1184">
      <c r="A1184" s="12" t="inlineStr">
        <is>
          <t>CCS MV switchgear building (VFDs)</t>
        </is>
      </c>
      <c r="B1184" s="12" t="inlineStr"/>
      <c r="C1184" s="12" t="inlineStr">
        <is>
          <t>G</t>
        </is>
      </c>
      <c r="D1184" s="12" t="inlineStr">
        <is>
          <t>CCS T-1 secondary to CCS 13.8 kV switchgear</t>
        </is>
      </c>
      <c r="E1184" s="12" t="n">
        <v>13800</v>
      </c>
      <c r="F1184" s="12" t="n">
        <v>60000</v>
      </c>
      <c r="G1184" s="12" t="n">
        <v>2510</v>
      </c>
      <c r="H1184" s="12" t="inlineStr">
        <is>
          <t>CCS T-1: 230/13.8 kV</t>
        </is>
      </c>
      <c r="I1184" s="12" t="inlineStr">
        <is>
          <t>MV 15 kV</t>
        </is>
      </c>
      <c r="J1184" s="12" t="inlineStr">
        <is>
          <t>1000 kcmil</t>
        </is>
      </c>
      <c r="K1184" s="12" t="n">
        <v>5</v>
      </c>
    </row>
    <row r="1185">
      <c r="A1185" s="12" t="inlineStr">
        <is>
          <t>CCS MV switchgear building (VFDs)</t>
        </is>
      </c>
      <c r="B1185" s="12" t="inlineStr"/>
      <c r="C1185" s="12" t="inlineStr">
        <is>
          <t>G</t>
        </is>
      </c>
      <c r="D1185" s="12" t="inlineStr">
        <is>
          <t>CCS T-2 secondary to CCS 13.8 kV switchgear</t>
        </is>
      </c>
      <c r="E1185" s="12" t="n">
        <v>13800</v>
      </c>
      <c r="F1185" s="12" t="n">
        <v>60000</v>
      </c>
      <c r="G1185" s="12" t="n">
        <v>2510</v>
      </c>
      <c r="H1185" s="12" t="inlineStr">
        <is>
          <t>CCS T-2: 230/13.8 kV</t>
        </is>
      </c>
      <c r="I1185" s="12" t="inlineStr">
        <is>
          <t>MV 15 kV</t>
        </is>
      </c>
      <c r="J1185" s="12" t="inlineStr">
        <is>
          <t>1000 kcmil</t>
        </is>
      </c>
      <c r="K1185" s="12" t="n">
        <v>5</v>
      </c>
    </row>
    <row r="1186">
      <c r="A1186" s="12" t="inlineStr">
        <is>
          <t>CO2 compression 3 x ~19 MW + dehydration</t>
        </is>
      </c>
      <c r="B1186" s="12" t="inlineStr"/>
      <c r="C1186" s="12" t="inlineStr">
        <is>
          <t>G</t>
        </is>
      </c>
      <c r="D1186" s="12" t="inlineStr">
        <is>
          <t>CO2 compressor train 1</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2</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CO2 compression 3 x ~19 MW + dehydration</t>
        </is>
      </c>
      <c r="B1188" s="12" t="inlineStr"/>
      <c r="C1188" s="12" t="inlineStr">
        <is>
          <t>G</t>
        </is>
      </c>
      <c r="D1188" s="12" t="inlineStr">
        <is>
          <t>CO2 compressor train 3</t>
        </is>
      </c>
      <c r="E1188" s="12" t="n">
        <v>13800</v>
      </c>
      <c r="F1188" s="12" t="n">
        <v>19000</v>
      </c>
      <c r="G1188" s="12" t="n">
        <v>883</v>
      </c>
      <c r="H1188" s="12" t="inlineStr">
        <is>
          <t>CCS MV switchgear building (VFDs)</t>
        </is>
      </c>
      <c r="I1188" s="12" t="inlineStr">
        <is>
          <t>MV 15 kV</t>
        </is>
      </c>
      <c r="J1188" s="12" t="inlineStr">
        <is>
          <t>750 kcmil</t>
        </is>
      </c>
      <c r="K1188" s="12" t="n">
        <v>2</v>
      </c>
    </row>
    <row r="1189">
      <c r="A1189" s="12" t="inlineStr">
        <is>
          <t>CONDITIONAL: HP export compressor + metering</t>
        </is>
      </c>
      <c r="B1189" s="12" t="inlineStr"/>
      <c r="C1189" s="12" t="inlineStr">
        <is>
          <t>G</t>
        </is>
      </c>
      <c r="D1189" s="12" t="inlineStr">
        <is>
          <t>HP CO2 export compressor (conditional)</t>
        </is>
      </c>
      <c r="E1189" s="12" t="n">
        <v>13800</v>
      </c>
      <c r="F1189" s="12" t="n">
        <v>8000</v>
      </c>
      <c r="G1189" s="12" t="n">
        <v>372</v>
      </c>
      <c r="H1189" s="12" t="inlineStr">
        <is>
          <t>CCS MV switchgear building (VFDs)</t>
        </is>
      </c>
      <c r="I1189" s="12" t="inlineStr">
        <is>
          <t>MV 15 kV</t>
        </is>
      </c>
      <c r="J1189" s="12" t="inlineStr">
        <is>
          <t>750 kcmil</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CT MCC / VFD e-house</t>
        </is>
      </c>
      <c r="B1191" s="12" t="inlineStr"/>
      <c r="C1191" s="12" t="inlineStr">
        <is>
          <t>G</t>
        </is>
      </c>
      <c r="D1191" s="12" t="inlineStr">
        <is>
          <t>CT MCC / VFD e-house transformer</t>
        </is>
      </c>
      <c r="E1191" s="12" t="n">
        <v>13800</v>
      </c>
      <c r="F1191" s="12" t="n">
        <v>3000</v>
      </c>
      <c r="G1191" s="12" t="n">
        <v>126</v>
      </c>
      <c r="H1191" s="12" t="inlineStr">
        <is>
          <t>CCS MV switchgear building (VFDs)</t>
        </is>
      </c>
      <c r="I1191" s="12" t="inlineStr">
        <is>
          <t>MV 15 kV</t>
        </is>
      </c>
      <c r="J1191" s="12" t="inlineStr">
        <is>
          <t>1/0</t>
        </is>
      </c>
      <c r="K1191" s="12" t="n">
        <v>1</v>
      </c>
    </row>
    <row r="1192">
      <c r="A1192" s="12" t="inlineStr">
        <is>
          <t>CCS circulating-water pumps</t>
        </is>
      </c>
      <c r="B1192" s="12" t="inlineStr"/>
      <c r="C1192" s="12" t="inlineStr">
        <is>
          <t>G</t>
        </is>
      </c>
      <c r="D1192" s="12" t="inlineStr">
        <is>
          <t>CCS circulating-water pump 1</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2</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3</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CCS circulating-water pumps</t>
        </is>
      </c>
      <c r="B1195" s="12" t="inlineStr"/>
      <c r="C1195" s="12" t="inlineStr">
        <is>
          <t>G</t>
        </is>
      </c>
      <c r="D1195" s="12" t="inlineStr">
        <is>
          <t>CCS circulating-water pump 4</t>
        </is>
      </c>
      <c r="E1195" s="12" t="n">
        <v>4160</v>
      </c>
      <c r="F1195" s="12" t="n">
        <v>1200</v>
      </c>
      <c r="G1195" s="12" t="n">
        <v>185</v>
      </c>
      <c r="H1195" s="12" t="inlineStr">
        <is>
          <t>CCS MV switchgear building (VFDs)</t>
        </is>
      </c>
      <c r="I1195" s="12" t="inlineStr">
        <is>
          <t>MV 5 kV</t>
        </is>
      </c>
      <c r="J1195" s="12" t="inlineStr">
        <is>
          <t>4/0</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A</t>
        </is>
      </c>
      <c r="B1197" s="12" t="inlineStr"/>
      <c r="C1197" s="12" t="inlineStr">
        <is>
          <t>G</t>
        </is>
      </c>
      <c r="D1197" s="12" t="inlineStr">
        <is>
          <t>Rich / lean amine pumps (A)</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B</t>
        </is>
      </c>
      <c r="B1199" s="12" t="inlineStr"/>
      <c r="C1199" s="12" t="inlineStr">
        <is>
          <t>G</t>
        </is>
      </c>
      <c r="D1199" s="12" t="inlineStr">
        <is>
          <t>Rich / lean amine pumps (B)</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Rich/lean pumps, cross exchanger, lean cooler C</t>
        </is>
      </c>
      <c r="B1201" s="12" t="inlineStr"/>
      <c r="C1201" s="12" t="inlineStr">
        <is>
          <t>G</t>
        </is>
      </c>
      <c r="D1201" s="12" t="inlineStr">
        <is>
          <t>Rich / lean amine pumps (C)</t>
        </is>
      </c>
      <c r="E1201" s="12" t="n">
        <v>4160</v>
      </c>
      <c r="F1201" s="12" t="n">
        <v>450</v>
      </c>
      <c r="G1201" s="12" t="n">
        <v>69</v>
      </c>
      <c r="H1201" s="12" t="inlineStr">
        <is>
          <t>CCS MV switchgear building (VFDs)</t>
        </is>
      </c>
      <c r="I1201" s="12" t="inlineStr">
        <is>
          <t>MV 5 kV</t>
        </is>
      </c>
      <c r="J1201" s="12" t="inlineStr">
        <is>
          <t>2</t>
        </is>
      </c>
      <c r="K1201" s="12" t="n">
        <v>1</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BESS PCS / MV skid</t>
        </is>
      </c>
      <c r="B1231" s="12" t="inlineStr"/>
      <c r="C1231" s="12" t="inlineStr">
        <is>
          <t>H</t>
        </is>
      </c>
      <c r="D1231" s="12" t="inlineStr">
        <is>
          <t>DC 1,500 V: container to PCS (2 x 1/C per pole pair)</t>
        </is>
      </c>
      <c r="E1231" s="12" t="n">
        <v>1500</v>
      </c>
      <c r="F1231" s="12" t="n">
        <v>4000</v>
      </c>
      <c r="G1231" s="12" t="n"/>
      <c r="H1231" s="12" t="inlineStr">
        <is>
          <t>BESS container (ISO 40 ft high cube)</t>
        </is>
      </c>
      <c r="I1231" s="12" t="inlineStr">
        <is>
          <t>DC 2 kV</t>
        </is>
      </c>
      <c r="J1231" s="12" t="inlineStr">
        <is>
          <t>500 kcmil</t>
        </is>
      </c>
      <c r="K1231" s="12" t="n">
        <v>4</v>
      </c>
    </row>
    <row r="1232">
      <c r="A1232" s="12" t="inlineStr">
        <is>
          <t>34.5 kV collector e-house (arc-resistant)</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EMS / SCADA and revenue metering</t>
        </is>
      </c>
      <c r="B1233" s="12" t="inlineStr"/>
      <c r="C1233" s="12" t="inlineStr">
        <is>
          <t>H</t>
        </is>
      </c>
      <c r="D1233" s="12" t="inlineStr">
        <is>
          <t>LV panel / distribution feeder</t>
        </is>
      </c>
      <c r="E1233" s="12" t="n">
        <v>480</v>
      </c>
      <c r="F1233" s="12" t="n">
        <v>30</v>
      </c>
      <c r="G1233" s="12" t="n">
        <v>42.5</v>
      </c>
      <c r="H1233" s="12" t="inlineStr">
        <is>
          <t>BESS auxiliary transformer</t>
        </is>
      </c>
      <c r="I1233" s="12" t="inlineStr">
        <is>
          <t>LV 600 V</t>
        </is>
      </c>
      <c r="J1233" s="12" t="inlineStr">
        <is>
          <t>6</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1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2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1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2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1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2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1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2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1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2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1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2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1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2 of 2, 7 kW</t>
        </is>
      </c>
      <c r="E1259" s="12" t="n">
        <v>480</v>
      </c>
      <c r="F1259" s="12" t="n">
        <v>7</v>
      </c>
      <c r="G1259" s="12" t="n">
        <v>9.9</v>
      </c>
      <c r="H1259" s="12" t="inlineStr">
        <is>
          <t>BESS auxiliary transformer</t>
        </is>
      </c>
      <c r="I1259" s="12" t="inlineStr">
        <is>
          <t>LV 600 V</t>
        </is>
      </c>
      <c r="J1259" s="12" t="inlineStr">
        <is>
          <t>8</t>
        </is>
      </c>
      <c r="K1259" s="12" t="n">
        <v>1</v>
      </c>
    </row>
    <row r="1260">
      <c r="A1260" s="12" t="inlineStr">
        <is>
          <t>BESS PCS / MV skid</t>
        </is>
      </c>
      <c r="B1260" s="12" t="inlineStr"/>
      <c r="C1260" s="12" t="inlineStr">
        <is>
          <t>H</t>
        </is>
      </c>
      <c r="D1260" s="12" t="inlineStr">
        <is>
          <t>Motor 1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2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1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PCS / MV skid</t>
        </is>
      </c>
      <c r="B1263" s="12" t="inlineStr"/>
      <c r="C1263" s="12" t="inlineStr">
        <is>
          <t>H</t>
        </is>
      </c>
      <c r="D1263" s="12" t="inlineStr">
        <is>
          <t>Motor 2 of 2, 7 kW</t>
        </is>
      </c>
      <c r="E1263" s="12" t="n">
        <v>480</v>
      </c>
      <c r="F1263" s="12" t="n">
        <v>7</v>
      </c>
      <c r="G1263" s="12" t="n">
        <v>9.9</v>
      </c>
      <c r="H1263" s="12" t="inlineStr">
        <is>
          <t>BESS auxiliary transformer</t>
        </is>
      </c>
      <c r="I1263" s="12" t="inlineStr">
        <is>
          <t>LV 600 V</t>
        </is>
      </c>
      <c r="J1263" s="12" t="inlineStr">
        <is>
          <t>10</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250 kcmil</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container (ISO 40 ft high cube)</t>
        </is>
      </c>
      <c r="B1293" s="12" t="inlineStr"/>
      <c r="C1293" s="12" t="inlineStr">
        <is>
          <t>H</t>
        </is>
      </c>
      <c r="D1293" s="12" t="inlineStr">
        <is>
          <t>Container auxiliary 480 V</t>
        </is>
      </c>
      <c r="E1293" s="12" t="n">
        <v>480</v>
      </c>
      <c r="F1293" s="12" t="n">
        <v>60</v>
      </c>
      <c r="G1293" s="12" t="n">
        <v>76</v>
      </c>
      <c r="H1293" s="12" t="inlineStr">
        <is>
          <t>BESS PCS / MV skid</t>
        </is>
      </c>
      <c r="I1293" s="12" t="inlineStr">
        <is>
          <t>LV 600 V</t>
        </is>
      </c>
      <c r="J1293" s="12" t="inlineStr">
        <is>
          <t>2</t>
        </is>
      </c>
      <c r="K1293" s="12" t="n">
        <v>1</v>
      </c>
    </row>
    <row r="1294">
      <c r="A1294" s="12" t="inlineStr">
        <is>
          <t>BESS main power transformer 34.5/230 kV (to D4 upper)</t>
        </is>
      </c>
      <c r="B1294" s="12" t="inlineStr">
        <is>
          <t>BESS MPT</t>
        </is>
      </c>
      <c r="C1294" s="12" t="inlineStr">
        <is>
          <t>H</t>
        </is>
      </c>
      <c r="D1294" s="12" t="inlineStr">
        <is>
          <t>Motor 1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2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3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4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5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main power transformer 34.5/230 kV (to D4 upper)</t>
        </is>
      </c>
      <c r="B1299" s="12" t="inlineStr">
        <is>
          <t>BESS MPT</t>
        </is>
      </c>
      <c r="C1299" s="12" t="inlineStr">
        <is>
          <t>H</t>
        </is>
      </c>
      <c r="D1299" s="12" t="inlineStr">
        <is>
          <t>Motor 6 of 6, 2 kW</t>
        </is>
      </c>
      <c r="E1299" s="12" t="n">
        <v>480</v>
      </c>
      <c r="F1299" s="12" t="n">
        <v>2</v>
      </c>
      <c r="G1299" s="12" t="n">
        <v>2.8</v>
      </c>
      <c r="H1299" s="12" t="inlineStr">
        <is>
          <t>BESS auxiliary transformer</t>
        </is>
      </c>
      <c r="I1299" s="12" t="inlineStr">
        <is>
          <t>LV 600 V</t>
        </is>
      </c>
      <c r="J1299" s="12" t="inlineStr">
        <is>
          <t>10</t>
        </is>
      </c>
      <c r="K1299" s="12" t="n">
        <v>1</v>
      </c>
    </row>
    <row r="1300">
      <c r="A1300" s="12" t="inlineStr">
        <is>
          <t>BESS yard: surfacing, fence, gate, signage, lighting</t>
        </is>
      </c>
      <c r="B1300" s="12" t="inlineStr"/>
      <c r="C1300" s="12" t="inlineStr">
        <is>
          <t>H</t>
        </is>
      </c>
      <c r="D1300" s="12" t="inlineStr">
        <is>
          <t>Yard lighting circuit 1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2 (10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BESS yard: surfacing, fence, gate, signage, lighting</t>
        </is>
      </c>
      <c r="B1302" s="12" t="inlineStr"/>
      <c r="C1302" s="12" t="inlineStr">
        <is>
          <t>H</t>
        </is>
      </c>
      <c r="D1302" s="12" t="inlineStr">
        <is>
          <t>Yard lighting circuit 3 (4 floodlights)</t>
        </is>
      </c>
      <c r="E1302" s="12" t="n">
        <v>480</v>
      </c>
      <c r="F1302" s="12" t="n">
        <v>4</v>
      </c>
      <c r="G1302" s="12" t="n">
        <v>6</v>
      </c>
      <c r="H1302" s="12" t="inlineStr">
        <is>
          <t>BESS auxiliary transformer</t>
        </is>
      </c>
      <c r="I1302" s="12" t="inlineStr">
        <is>
          <t>LV 600 V</t>
        </is>
      </c>
      <c r="J1302" s="12" t="inlineStr">
        <is>
          <t>8</t>
        </is>
      </c>
      <c r="K1302" s="12" t="n">
        <v>1</v>
      </c>
    </row>
    <row r="1303">
      <c r="A1303" s="12" t="inlineStr">
        <is>
          <t>34.5 kV collector e-house (arc-resistant)</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2</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34.5 kV collector e-house (arc-resistant)</t>
        </is>
      </c>
      <c r="B1305" s="12" t="inlineStr"/>
      <c r="C1305" s="12" t="inlineStr">
        <is>
          <t>H</t>
        </is>
      </c>
      <c r="D1305" s="12" t="inlineStr">
        <is>
          <t>34.5 kV collection loop 3</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1</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2</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34.5 kV collector e-house (arc-resistant)</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PCS / MV skid</t>
        </is>
      </c>
      <c r="B1320" s="12" t="inlineStr"/>
      <c r="C1320" s="12" t="inlineStr">
        <is>
          <t>H</t>
        </is>
      </c>
      <c r="D1320" s="12" t="inlineStr">
        <is>
          <t>34.5 kV collection loop 3</t>
        </is>
      </c>
      <c r="E1320" s="12" t="n">
        <v>34500</v>
      </c>
      <c r="F1320" s="12" t="n">
        <v>25000</v>
      </c>
      <c r="G1320" s="12" t="n">
        <v>418</v>
      </c>
      <c r="H1320" s="12" t="inlineStr">
        <is>
          <t>BESS PCS / MV skid</t>
        </is>
      </c>
      <c r="I1320" s="12" t="inlineStr">
        <is>
          <t>MV 35 kV</t>
        </is>
      </c>
      <c r="J1320" s="12" t="inlineStr">
        <is>
          <t>350 kcmil</t>
        </is>
      </c>
      <c r="K1320" s="12" t="n">
        <v>2</v>
      </c>
    </row>
    <row r="1321">
      <c r="A1321" s="12" t="inlineStr">
        <is>
          <t>BESS main power transformer 34.5/230 kV (to D4 upper)</t>
        </is>
      </c>
      <c r="B1321" s="12" t="inlineStr">
        <is>
          <t>BESS MPT</t>
        </is>
      </c>
      <c r="C1321" s="12" t="inlineStr">
        <is>
          <t>H</t>
        </is>
      </c>
      <c r="D1321" s="12" t="inlineStr">
        <is>
          <t>BESS MPT 34.5 kV side</t>
        </is>
      </c>
      <c r="E1321" s="12" t="n">
        <v>34500</v>
      </c>
      <c r="F1321" s="12" t="n">
        <v>100000</v>
      </c>
      <c r="G1321" s="12" t="n">
        <v>1674</v>
      </c>
      <c r="H1321" s="12" t="inlineStr">
        <is>
          <t>34.5 kV collector e-house (arc-resistant)</t>
        </is>
      </c>
      <c r="I1321" s="12" t="inlineStr">
        <is>
          <t>MV 35 kV</t>
        </is>
      </c>
      <c r="J1321" s="12" t="inlineStr">
        <is>
          <t>750 kcmil</t>
        </is>
      </c>
      <c r="K1321" s="12" t="n">
        <v>5</v>
      </c>
    </row>
    <row r="1322">
      <c r="A1322" s="12" t="inlineStr">
        <is>
          <t>CONDITIONAL: grounding transformer</t>
        </is>
      </c>
      <c r="B1322" s="12" t="inlineStr"/>
      <c r="C1322" s="12" t="inlineStr">
        <is>
          <t>H</t>
        </is>
      </c>
      <c r="D1322" s="12" t="inlineStr">
        <is>
          <t>Grounding transformer connection (34.5 kV)</t>
        </is>
      </c>
      <c r="E1322" s="12" t="n">
        <v>34500</v>
      </c>
      <c r="F1322" s="12" t="n">
        <v>2000</v>
      </c>
      <c r="G1322" s="12" t="n">
        <v>33</v>
      </c>
      <c r="H1322" s="12" t="inlineStr">
        <is>
          <t>34.5 kV collector e-house (arc-resistant)</t>
        </is>
      </c>
      <c r="I1322" s="12" t="inlineStr">
        <is>
          <t>MV 35 kV</t>
        </is>
      </c>
      <c r="J1322" s="12" t="inlineStr">
        <is>
          <t>2</t>
        </is>
      </c>
      <c r="K1322" s="12" t="n">
        <v>1</v>
      </c>
    </row>
    <row r="1323">
      <c r="A1323" s="12" t="inlineStr">
        <is>
          <t>AX-1: compact modular aeroderivative installation, ~35 MW class (~35 M</t>
        </is>
      </c>
      <c r="B1323" s="12" t="inlineStr">
        <is>
          <t>AX-1</t>
        </is>
      </c>
      <c r="C1323" s="12" t="inlineStr">
        <is>
          <t>I</t>
        </is>
      </c>
      <c r="D1323" s="12" t="inlineStr">
        <is>
          <t>AX-1 package auxiliaries 480 V (from the unit auxiliary transformer in the control module)</t>
        </is>
      </c>
      <c r="E1323" s="12" t="n">
        <v>480</v>
      </c>
      <c r="F1323" s="12" t="n">
        <v>400</v>
      </c>
      <c r="G1323" s="12" t="n">
        <v>510</v>
      </c>
      <c r="H1323" s="12" t="inlineStr">
        <is>
          <t>AX-1: compact modular aeroderivative installation, ~35 MW cl</t>
        </is>
      </c>
      <c r="I1323" s="12" t="inlineStr">
        <is>
          <t>LV 600 V</t>
        </is>
      </c>
      <c r="J1323" s="12" t="inlineStr">
        <is>
          <t>500 kcmil</t>
        </is>
      </c>
      <c r="K1323" s="12" t="n">
        <v>2</v>
      </c>
    </row>
    <row r="1324">
      <c r="A1324" s="12" t="inlineStr">
        <is>
          <t>Aqueous ammonia (SC units)</t>
        </is>
      </c>
      <c r="B1324" s="12" t="inlineStr"/>
      <c r="C1324" s="12" t="inlineStr">
        <is>
          <t>I</t>
        </is>
      </c>
      <c r="D1324" s="12" t="inlineStr">
        <is>
          <t>Motor 1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Aqueous ammonia (SC units)</t>
        </is>
      </c>
      <c r="B1325" s="12" t="inlineStr"/>
      <c r="C1325" s="12" t="inlineStr">
        <is>
          <t>I</t>
        </is>
      </c>
      <c r="D1325" s="12" t="inlineStr">
        <is>
          <t>Motor 2 of 2, 3.7 kW</t>
        </is>
      </c>
      <c r="E1325" s="12" t="n">
        <v>480</v>
      </c>
      <c r="F1325" s="12" t="n">
        <v>3.7</v>
      </c>
      <c r="G1325" s="12" t="n">
        <v>5.2</v>
      </c>
      <c r="H1325" s="12" t="inlineStr">
        <is>
          <t>SC-2 PCM + 15 kV GCB</t>
        </is>
      </c>
      <c r="I1325" s="12" t="inlineStr">
        <is>
          <t>LV 600 V</t>
        </is>
      </c>
      <c r="J1325" s="12" t="inlineStr">
        <is>
          <t>10</t>
        </is>
      </c>
      <c r="K1325" s="12" t="n">
        <v>1</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Black-start genset output</t>
        </is>
      </c>
      <c r="E1327" s="12" t="n">
        <v>480</v>
      </c>
      <c r="F1327" s="12" t="n">
        <v>2000</v>
      </c>
      <c r="G1327" s="12" t="n">
        <v>2532.3</v>
      </c>
      <c r="H1327" s="12" t="inlineStr">
        <is>
          <t>Black-start genset (proposed; requires study)</t>
        </is>
      </c>
      <c r="I1327" s="12" t="inlineStr">
        <is>
          <t>LV 600 V</t>
        </is>
      </c>
      <c r="J1327" s="12" t="inlineStr">
        <is>
          <t>500 kcmil</t>
        </is>
      </c>
      <c r="K1327" s="12" t="n">
        <v>10</v>
      </c>
    </row>
    <row r="1328">
      <c r="A1328" s="12" t="inlineStr">
        <is>
          <t>BS black-start switchgear</t>
        </is>
      </c>
      <c r="B1328" s="12" t="inlineStr"/>
      <c r="C1328" s="12" t="inlineStr">
        <is>
          <t>I</t>
        </is>
      </c>
      <c r="D1328" s="12" t="inlineStr">
        <is>
          <t>LV power feeder</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CGE-1..4 upper deck: stacked cooling containers, radiators, silencers,</t>
        </is>
      </c>
      <c r="B1329" s="12" t="inlineStr">
        <is>
          <t>CGE-DECK</t>
        </is>
      </c>
      <c r="C1329" s="12" t="inlineStr">
        <is>
          <t>I</t>
        </is>
      </c>
      <c r="D1329" s="12" t="inlineStr">
        <is>
          <t>CGE-1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CGE-2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CGE-3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CGE-1..4 upper deck: stacked cooling containers, radiators, silencers,</t>
        </is>
      </c>
      <c r="B1332" s="12" t="inlineStr">
        <is>
          <t>CGE-DECK</t>
        </is>
      </c>
      <c r="C1332" s="12" t="inlineStr">
        <is>
          <t>I</t>
        </is>
      </c>
      <c r="D1332" s="12" t="inlineStr">
        <is>
          <t>CGE-4 cooling container: radiator fans, jacket-water pumps (deck)</t>
        </is>
      </c>
      <c r="E1332" s="12" t="n">
        <v>480</v>
      </c>
      <c r="F1332" s="12" t="n">
        <v>110</v>
      </c>
      <c r="G1332" s="12" t="n">
        <v>155.7</v>
      </c>
      <c r="H1332" s="12" t="inlineStr">
        <is>
          <t>CGE-AUX: 13.8 / 0.48 kV auxiliary transformer (cooling conta</t>
        </is>
      </c>
      <c r="I1332" s="12" t="inlineStr">
        <is>
          <t>LV 600 V</t>
        </is>
      </c>
      <c r="J1332" s="12" t="inlineStr">
        <is>
          <t>3/0</t>
        </is>
      </c>
      <c r="K1332" s="12" t="n">
        <v>1</v>
      </c>
    </row>
    <row r="1333">
      <c r="A1333" s="12" t="inlineStr">
        <is>
          <t>CGE-SWG: 13.8 kV switchgear container (engine breakers, site feeder)</t>
        </is>
      </c>
      <c r="B1333" s="12" t="inlineStr">
        <is>
          <t>CGE-SWG</t>
        </is>
      </c>
      <c r="C1333" s="12" t="inlineStr">
        <is>
          <t>I</t>
        </is>
      </c>
      <c r="D1333" s="12" t="inlineStr">
        <is>
          <t>CGE-SWG station service: DC charger, heaters, HVAC, lighting</t>
        </is>
      </c>
      <c r="E1333" s="12" t="n">
        <v>480</v>
      </c>
      <c r="F1333" s="12" t="n">
        <v>45</v>
      </c>
      <c r="G1333" s="12" t="n">
        <v>57</v>
      </c>
      <c r="H1333" s="12" t="inlineStr">
        <is>
          <t>CGE-AUX: 13.8 / 0.48 kV auxiliary transformer (cooling conta</t>
        </is>
      </c>
      <c r="I1333" s="12" t="inlineStr">
        <is>
          <t>LV 600 V</t>
        </is>
      </c>
      <c r="J1333" s="12" t="inlineStr">
        <is>
          <t>4</t>
        </is>
      </c>
      <c r="K1333" s="12" t="n">
        <v>1</v>
      </c>
    </row>
    <row r="1334">
      <c r="A1334" s="12" t="inlineStr">
        <is>
          <t>CHP-1: gas-engine generator ~2.5 MW with exhaust heat recovery, 13.8 k</t>
        </is>
      </c>
      <c r="B1334" s="12" t="inlineStr">
        <is>
          <t>CHP-1</t>
        </is>
      </c>
      <c r="C1334" s="12" t="inlineStr">
        <is>
          <t>I</t>
        </is>
      </c>
      <c r="D1334" s="12" t="inlineStr">
        <is>
          <t>CHP-1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CHP-2: gas-engine generator ~2.5 MW with exhaust heat recovery, 13.8 k</t>
        </is>
      </c>
      <c r="B1335" s="12" t="inlineStr">
        <is>
          <t>CHP-2</t>
        </is>
      </c>
      <c r="C1335" s="12" t="inlineStr">
        <is>
          <t>I</t>
        </is>
      </c>
      <c r="D1335" s="12" t="inlineStr">
        <is>
          <t>CHP-2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CHP-3: gas-engine generator ~2.5 MW with exhaust heat recovery, 13.8 k</t>
        </is>
      </c>
      <c r="B1336" s="12" t="inlineStr">
        <is>
          <t>CHP-3</t>
        </is>
      </c>
      <c r="C1336" s="12" t="inlineStr">
        <is>
          <t>I</t>
        </is>
      </c>
      <c r="D1336" s="12" t="inlineStr">
        <is>
          <t>CHP-3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CHP-4: gas-engine generator ~2.5 MW with exhaust heat recovery, 13.8 k</t>
        </is>
      </c>
      <c r="B1337" s="12" t="inlineStr">
        <is>
          <t>CHP-4</t>
        </is>
      </c>
      <c r="C1337" s="12" t="inlineStr">
        <is>
          <t>I</t>
        </is>
      </c>
      <c r="D1337" s="12" t="inlineStr">
        <is>
          <t>CHP-4 auxiliaries (jacket-water pump, enclosure ventilation)</t>
        </is>
      </c>
      <c r="E1337" s="12" t="n">
        <v>480</v>
      </c>
      <c r="F1337" s="12" t="n">
        <v>60</v>
      </c>
      <c r="G1337" s="12" t="n">
        <v>84.90000000000001</v>
      </c>
      <c r="H1337" s="12" t="inlineStr">
        <is>
          <t>CHP-AUX: 13.8 / 0.48 kV, 750 kVA auxiliary pad-mount (engine</t>
        </is>
      </c>
      <c r="I1337" s="12" t="inlineStr">
        <is>
          <t>LV 600 V</t>
        </is>
      </c>
      <c r="J1337" s="12" t="inlineStr">
        <is>
          <t>2</t>
        </is>
      </c>
      <c r="K1337" s="12" t="n">
        <v>1</v>
      </c>
    </row>
    <row r="1338">
      <c r="A1338" s="12" t="inlineStr">
        <is>
          <t>CHP-HR: exhaust heat-recovery rack (4 exhaust heat exchangers and stac</t>
        </is>
      </c>
      <c r="B1338" s="12" t="inlineStr">
        <is>
          <t>CHP-HR</t>
        </is>
      </c>
      <c r="C1338" s="12" t="inlineStr">
        <is>
          <t>I</t>
        </is>
      </c>
      <c r="D1338" s="12" t="inlineStr">
        <is>
          <t>CHP-HR dump-cooler fans and hot-water circulation pumps</t>
        </is>
      </c>
      <c r="E1338" s="12" t="n">
        <v>480</v>
      </c>
      <c r="F1338" s="12" t="n">
        <v>160</v>
      </c>
      <c r="G1338" s="12" t="n">
        <v>226.4</v>
      </c>
      <c r="H1338" s="12" t="inlineStr">
        <is>
          <t>CHP-AUX: 13.8 / 0.48 kV, 750 kVA auxiliary pad-mount (engine</t>
        </is>
      </c>
      <c r="I1338" s="12" t="inlineStr">
        <is>
          <t>LV 600 V</t>
        </is>
      </c>
      <c r="J1338" s="12" t="inlineStr">
        <is>
          <t>350 kcmil</t>
        </is>
      </c>
      <c r="K1338" s="12" t="n">
        <v>1</v>
      </c>
    </row>
    <row r="1339">
      <c r="A1339" s="12" t="inlineStr">
        <is>
          <t>CHP-SWG: 13.8 kV switchgear container (4 engine breakers, site feeder)</t>
        </is>
      </c>
      <c r="B1339" s="12" t="inlineStr">
        <is>
          <t>CHP-SWG</t>
        </is>
      </c>
      <c r="C1339" s="12" t="inlineStr">
        <is>
          <t>I</t>
        </is>
      </c>
      <c r="D1339" s="12" t="inlineStr">
        <is>
          <t>CHP-SWG station service: DC charger, heaters, HVAC, lighting</t>
        </is>
      </c>
      <c r="E1339" s="12" t="n">
        <v>480</v>
      </c>
      <c r="F1339" s="12" t="n">
        <v>45</v>
      </c>
      <c r="G1339" s="12" t="n">
        <v>57</v>
      </c>
      <c r="H1339" s="12" t="inlineStr">
        <is>
          <t>CHP-AUX: 13.8 / 0.48 kV, 750 kVA auxiliary pad-mount (engine</t>
        </is>
      </c>
      <c r="I1339" s="12" t="inlineStr">
        <is>
          <t>LV 600 V</t>
        </is>
      </c>
      <c r="J1339" s="12" t="inlineStr">
        <is>
          <t>4</t>
        </is>
      </c>
      <c r="K1339" s="12" t="n">
        <v>1</v>
      </c>
    </row>
    <row r="1340">
      <c r="A1340" s="12" t="inlineStr">
        <is>
          <t>CONDITIONAL: BESS black-start alternative</t>
        </is>
      </c>
      <c r="B1340" s="12" t="inlineStr"/>
      <c r="C1340" s="12" t="inlineStr">
        <is>
          <t>I</t>
        </is>
      </c>
      <c r="D1340" s="12" t="inlineStr">
        <is>
          <t>LV power feeder</t>
        </is>
      </c>
      <c r="E1340" s="12" t="n">
        <v>480</v>
      </c>
      <c r="F1340" s="12" t="n">
        <v>15</v>
      </c>
      <c r="G1340" s="12" t="n">
        <v>21.2</v>
      </c>
      <c r="H1340" s="12" t="inlineStr">
        <is>
          <t>PCM: power control module</t>
        </is>
      </c>
      <c r="I1340" s="12" t="inlineStr">
        <is>
          <t>LV 600 V</t>
        </is>
      </c>
      <c r="J1340" s="12" t="inlineStr">
        <is>
          <t>6</t>
        </is>
      </c>
      <c r="K1340" s="12" t="n">
        <v>1</v>
      </c>
    </row>
    <row r="1341">
      <c r="A1341" s="12" t="inlineStr">
        <is>
          <t>CONDITIONAL: SC-1 inlet chiller / evaporative cooler</t>
        </is>
      </c>
      <c r="B1341" s="12" t="inlineStr"/>
      <c r="C1341" s="12" t="inlineStr">
        <is>
          <t>I</t>
        </is>
      </c>
      <c r="D1341" s="12" t="inlineStr">
        <is>
          <t>LV power feeder</t>
        </is>
      </c>
      <c r="E1341" s="12" t="n">
        <v>480</v>
      </c>
      <c r="F1341" s="12" t="n">
        <v>500</v>
      </c>
      <c r="G1341" s="12" t="n">
        <v>707.6</v>
      </c>
      <c r="H1341" s="12" t="inlineStr">
        <is>
          <t>SC-1 PCM + 15 kV GCB</t>
        </is>
      </c>
      <c r="I1341" s="12" t="inlineStr">
        <is>
          <t>LV 600 V</t>
        </is>
      </c>
      <c r="J1341" s="12" t="inlineStr">
        <is>
          <t>350 kcmil</t>
        </is>
      </c>
      <c r="K1341" s="12" t="n">
        <v>3</v>
      </c>
    </row>
    <row r="1342">
      <c r="A1342" s="12" t="inlineStr">
        <is>
          <t>CONDITIONAL: SC-2 inlet chiller / evaporative cooler</t>
        </is>
      </c>
      <c r="B1342" s="12" t="inlineStr"/>
      <c r="C1342" s="12" t="inlineStr">
        <is>
          <t>I</t>
        </is>
      </c>
      <c r="D1342" s="12" t="inlineStr">
        <is>
          <t>LV power feeder</t>
        </is>
      </c>
      <c r="E1342" s="12" t="n">
        <v>480</v>
      </c>
      <c r="F1342" s="12" t="n">
        <v>500</v>
      </c>
      <c r="G1342" s="12" t="n">
        <v>707.6</v>
      </c>
      <c r="H1342" s="12" t="inlineStr">
        <is>
          <t>SC-2 PCM + 15 kV GCB</t>
        </is>
      </c>
      <c r="I1342" s="12" t="inlineStr">
        <is>
          <t>LV 600 V</t>
        </is>
      </c>
      <c r="J1342" s="12" t="inlineStr">
        <is>
          <t>350 kcmil</t>
        </is>
      </c>
      <c r="K1342" s="12" t="n">
        <v>3</v>
      </c>
    </row>
    <row r="1343">
      <c r="A1343" s="12" t="inlineStr">
        <is>
          <t>FC-5..8 inverter / AC cabinet / desulfurizer</t>
        </is>
      </c>
      <c r="B1343" s="12" t="inlineStr"/>
      <c r="C1343" s="12" t="inlineStr">
        <is>
          <t>I</t>
        </is>
      </c>
      <c r="D1343" s="12" t="inlineStr">
        <is>
          <t>FC-5 SOFC output to inverter / AC cabinet</t>
        </is>
      </c>
      <c r="E1343" s="12" t="n">
        <v>480</v>
      </c>
      <c r="F1343" s="12" t="n">
        <v>250</v>
      </c>
      <c r="G1343" s="12" t="n">
        <v>316.5</v>
      </c>
      <c r="H1343" s="12" t="inlineStr">
        <is>
          <t>FC-5: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FC-6 SOFC output to inverter / AC cabinet</t>
        </is>
      </c>
      <c r="E1344" s="12" t="n">
        <v>480</v>
      </c>
      <c r="F1344" s="12" t="n">
        <v>250</v>
      </c>
      <c r="G1344" s="12" t="n">
        <v>316.5</v>
      </c>
      <c r="H1344" s="12" t="inlineStr">
        <is>
          <t>FC-6: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FC-7 SOFC output to inverter / AC cabinet</t>
        </is>
      </c>
      <c r="E1345" s="12" t="n">
        <v>480</v>
      </c>
      <c r="F1345" s="12" t="n">
        <v>250</v>
      </c>
      <c r="G1345" s="12" t="n">
        <v>316.5</v>
      </c>
      <c r="H1345" s="12" t="inlineStr">
        <is>
          <t>FC-7: SOFC module (200-300 kW class)</t>
        </is>
      </c>
      <c r="I1345" s="12" t="inlineStr">
        <is>
          <t>LV 600 V</t>
        </is>
      </c>
      <c r="J1345" s="12" t="inlineStr">
        <is>
          <t>3/0</t>
        </is>
      </c>
      <c r="K1345" s="12" t="n">
        <v>2</v>
      </c>
    </row>
    <row r="1346">
      <c r="A1346" s="12" t="inlineStr">
        <is>
          <t>FC-5..8 inverter / AC cabinet / desulfurizer</t>
        </is>
      </c>
      <c r="B1346" s="12" t="inlineStr"/>
      <c r="C1346" s="12" t="inlineStr">
        <is>
          <t>I</t>
        </is>
      </c>
      <c r="D1346" s="12" t="inlineStr">
        <is>
          <t>FC-8 SOFC output to inverter / AC cabinet</t>
        </is>
      </c>
      <c r="E1346" s="12" t="n">
        <v>480</v>
      </c>
      <c r="F1346" s="12" t="n">
        <v>250</v>
      </c>
      <c r="G1346" s="12" t="n">
        <v>316.5</v>
      </c>
      <c r="H1346" s="12" t="inlineStr">
        <is>
          <t>FC-8: SOFC module (200-300 kW class)</t>
        </is>
      </c>
      <c r="I1346" s="12" t="inlineStr">
        <is>
          <t>LV 600 V</t>
        </is>
      </c>
      <c r="J1346" s="12" t="inlineStr">
        <is>
          <t>3/0</t>
        </is>
      </c>
      <c r="K1346" s="12" t="n">
        <v>2</v>
      </c>
    </row>
    <row r="1347">
      <c r="A1347" s="12" t="inlineStr">
        <is>
          <t>Fuel-gas compressors 3 x 100% electric</t>
        </is>
      </c>
      <c r="B1347" s="12" t="inlineStr"/>
      <c r="C1347" s="12" t="inlineStr">
        <is>
          <t>I</t>
        </is>
      </c>
      <c r="D1347" s="12" t="inlineStr">
        <is>
          <t>Motor 1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2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3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4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5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Fuel-gas compressors 3 x 100% electric</t>
        </is>
      </c>
      <c r="B1352" s="12" t="inlineStr"/>
      <c r="C1352" s="12" t="inlineStr">
        <is>
          <t>I</t>
        </is>
      </c>
      <c r="D1352" s="12" t="inlineStr">
        <is>
          <t>Motor 6 of 6, 15 kW</t>
        </is>
      </c>
      <c r="E1352" s="12" t="n">
        <v>480</v>
      </c>
      <c r="F1352" s="12" t="n">
        <v>15</v>
      </c>
      <c r="G1352" s="12" t="n">
        <v>21.2</v>
      </c>
      <c r="H1352" s="12" t="inlineStr">
        <is>
          <t>SC-2 PCM + 15 kV GCB</t>
        </is>
      </c>
      <c r="I1352" s="12" t="inlineStr">
        <is>
          <t>LV 600 V</t>
        </is>
      </c>
      <c r="J1352" s="12" t="inlineStr">
        <is>
          <t>10</t>
        </is>
      </c>
      <c r="K1352" s="12" t="n">
        <v>1</v>
      </c>
    </row>
    <row r="1353">
      <c r="A1353" s="12" t="inlineStr">
        <is>
          <t>GB-1.1: modular gas genset 500 kW, 480 V (block GB-1, unit 1 of 5)</t>
        </is>
      </c>
      <c r="B1353" s="12" t="inlineStr">
        <is>
          <t>GB-1.1</t>
        </is>
      </c>
      <c r="C1353" s="12" t="inlineStr">
        <is>
          <t>I</t>
        </is>
      </c>
      <c r="D1353" s="12" t="inlineStr">
        <is>
          <t>GB-1.1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GB-1.2: modular gas genset 500 kW, 480 V (block GB-1, unit 2 of 5)</t>
        </is>
      </c>
      <c r="B1354" s="12" t="inlineStr">
        <is>
          <t>GB-1.2</t>
        </is>
      </c>
      <c r="C1354" s="12" t="inlineStr">
        <is>
          <t>I</t>
        </is>
      </c>
      <c r="D1354" s="12" t="inlineStr">
        <is>
          <t>GB-1.2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GB-1.3: modular gas genset 500 kW, 480 V (block GB-1, unit 3 of 5)</t>
        </is>
      </c>
      <c r="B1355" s="12" t="inlineStr">
        <is>
          <t>GB-1.3</t>
        </is>
      </c>
      <c r="C1355" s="12" t="inlineStr">
        <is>
          <t>I</t>
        </is>
      </c>
      <c r="D1355" s="12" t="inlineStr">
        <is>
          <t>GB-1.3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GB-1.4: modular gas genset 500 kW, 480 V (block GB-1, unit 4 of 5)</t>
        </is>
      </c>
      <c r="B1356" s="12" t="inlineStr">
        <is>
          <t>GB-1.4</t>
        </is>
      </c>
      <c r="C1356" s="12" t="inlineStr">
        <is>
          <t>I</t>
        </is>
      </c>
      <c r="D1356" s="12" t="inlineStr">
        <is>
          <t>GB-1.4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GB-1.5: modular gas genset 500 kW, 480 V (block GB-1, unit 5 of 5)</t>
        </is>
      </c>
      <c r="B1357" s="12" t="inlineStr">
        <is>
          <t>GB-1.5</t>
        </is>
      </c>
      <c r="C1357" s="12" t="inlineStr">
        <is>
          <t>I</t>
        </is>
      </c>
      <c r="D1357" s="12" t="inlineStr">
        <is>
          <t>GB-1.5 aux power: jacket-water heater, battery charger, enclosure</t>
        </is>
      </c>
      <c r="E1357" s="12" t="n">
        <v>480</v>
      </c>
      <c r="F1357" s="12" t="n">
        <v>15</v>
      </c>
      <c r="G1357" s="12" t="n">
        <v>19</v>
      </c>
      <c r="H1357" s="12" t="inlineStr">
        <is>
          <t>GBC-1: block GB-1 generator collector box, 480 V outdoor swi</t>
        </is>
      </c>
      <c r="I1357" s="12" t="inlineStr">
        <is>
          <t>LV 600 V</t>
        </is>
      </c>
      <c r="J1357" s="12" t="inlineStr">
        <is>
          <t>10</t>
        </is>
      </c>
      <c r="K1357" s="12" t="n">
        <v>1</v>
      </c>
    </row>
    <row r="1358">
      <c r="A1358" s="12" t="inlineStr">
        <is>
          <t>GB-2.1: modular gas genset 500 kW, 480 V (block GB-2, unit 1 of 5)</t>
        </is>
      </c>
      <c r="B1358" s="12" t="inlineStr">
        <is>
          <t>GB-2.1</t>
        </is>
      </c>
      <c r="C1358" s="12" t="inlineStr">
        <is>
          <t>I</t>
        </is>
      </c>
      <c r="D1358" s="12" t="inlineStr">
        <is>
          <t>GB-2.1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GB-2.2: modular gas genset 500 kW, 480 V (block GB-2, unit 2 of 5)</t>
        </is>
      </c>
      <c r="B1359" s="12" t="inlineStr">
        <is>
          <t>GB-2.2</t>
        </is>
      </c>
      <c r="C1359" s="12" t="inlineStr">
        <is>
          <t>I</t>
        </is>
      </c>
      <c r="D1359" s="12" t="inlineStr">
        <is>
          <t>GB-2.2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GB-2.3: modular gas genset 500 kW, 480 V (block GB-2, unit 3 of 5)</t>
        </is>
      </c>
      <c r="B1360" s="12" t="inlineStr">
        <is>
          <t>GB-2.3</t>
        </is>
      </c>
      <c r="C1360" s="12" t="inlineStr">
        <is>
          <t>I</t>
        </is>
      </c>
      <c r="D1360" s="12" t="inlineStr">
        <is>
          <t>GB-2.3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GB-2.4: modular gas genset 500 kW, 480 V (block GB-2, unit 4 of 5)</t>
        </is>
      </c>
      <c r="B1361" s="12" t="inlineStr">
        <is>
          <t>GB-2.4</t>
        </is>
      </c>
      <c r="C1361" s="12" t="inlineStr">
        <is>
          <t>I</t>
        </is>
      </c>
      <c r="D1361" s="12" t="inlineStr">
        <is>
          <t>GB-2.4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GB-2.5: modular gas genset 500 kW, 480 V (block GB-2, unit 5 of 5)</t>
        </is>
      </c>
      <c r="B1362" s="12" t="inlineStr">
        <is>
          <t>GB-2.5</t>
        </is>
      </c>
      <c r="C1362" s="12" t="inlineStr">
        <is>
          <t>I</t>
        </is>
      </c>
      <c r="D1362" s="12" t="inlineStr">
        <is>
          <t>GB-2.5 aux power: jacket-water heater, battery charger, enclosure</t>
        </is>
      </c>
      <c r="E1362" s="12" t="n">
        <v>480</v>
      </c>
      <c r="F1362" s="12" t="n">
        <v>15</v>
      </c>
      <c r="G1362" s="12" t="n">
        <v>19</v>
      </c>
      <c r="H1362" s="12" t="inlineStr">
        <is>
          <t>GBC-2: block GB-2 generator collector box, 480 V outdoor swi</t>
        </is>
      </c>
      <c r="I1362" s="12" t="inlineStr">
        <is>
          <t>LV 600 V</t>
        </is>
      </c>
      <c r="J1362" s="12" t="inlineStr">
        <is>
          <t>10</t>
        </is>
      </c>
      <c r="K1362" s="12" t="n">
        <v>1</v>
      </c>
    </row>
    <row r="1363">
      <c r="A1363" s="12" t="inlineStr">
        <is>
          <t>GB-3.1: modular gas genset 500 kW, 480 V (block GB-3, unit 1 of 5)</t>
        </is>
      </c>
      <c r="B1363" s="12" t="inlineStr">
        <is>
          <t>GB-3.1</t>
        </is>
      </c>
      <c r="C1363" s="12" t="inlineStr">
        <is>
          <t>I</t>
        </is>
      </c>
      <c r="D1363" s="12" t="inlineStr">
        <is>
          <t>GB-3.1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GB-3.2: modular gas genset 500 kW, 480 V (block GB-3, unit 2 of 5)</t>
        </is>
      </c>
      <c r="B1364" s="12" t="inlineStr">
        <is>
          <t>GB-3.2</t>
        </is>
      </c>
      <c r="C1364" s="12" t="inlineStr">
        <is>
          <t>I</t>
        </is>
      </c>
      <c r="D1364" s="12" t="inlineStr">
        <is>
          <t>GB-3.2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GB-3.3: modular gas genset 500 kW, 480 V (block GB-3, unit 3 of 5)</t>
        </is>
      </c>
      <c r="B1365" s="12" t="inlineStr">
        <is>
          <t>GB-3.3</t>
        </is>
      </c>
      <c r="C1365" s="12" t="inlineStr">
        <is>
          <t>I</t>
        </is>
      </c>
      <c r="D1365" s="12" t="inlineStr">
        <is>
          <t>GB-3.3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GB-3.4: modular gas genset 500 kW, 480 V (block GB-3, unit 4 of 5)</t>
        </is>
      </c>
      <c r="B1366" s="12" t="inlineStr">
        <is>
          <t>GB-3.4</t>
        </is>
      </c>
      <c r="C1366" s="12" t="inlineStr">
        <is>
          <t>I</t>
        </is>
      </c>
      <c r="D1366" s="12" t="inlineStr">
        <is>
          <t>GB-3.4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GB-3.5: modular gas genset 500 kW, 480 V (block GB-3, unit 5 of 5)</t>
        </is>
      </c>
      <c r="B1367" s="12" t="inlineStr">
        <is>
          <t>GB-3.5</t>
        </is>
      </c>
      <c r="C1367" s="12" t="inlineStr">
        <is>
          <t>I</t>
        </is>
      </c>
      <c r="D1367" s="12" t="inlineStr">
        <is>
          <t>GB-3.5 aux power: jacket-water heater, battery charger, enclosure</t>
        </is>
      </c>
      <c r="E1367" s="12" t="n">
        <v>480</v>
      </c>
      <c r="F1367" s="12" t="n">
        <v>15</v>
      </c>
      <c r="G1367" s="12" t="n">
        <v>19</v>
      </c>
      <c r="H1367" s="12" t="inlineStr">
        <is>
          <t>GBC-3: block GB-3 generator collector box, 480 V outdoor swi</t>
        </is>
      </c>
      <c r="I1367" s="12" t="inlineStr">
        <is>
          <t>LV 600 V</t>
        </is>
      </c>
      <c r="J1367" s="12" t="inlineStr">
        <is>
          <t>10</t>
        </is>
      </c>
      <c r="K1367" s="12" t="n">
        <v>1</v>
      </c>
    </row>
    <row r="1368">
      <c r="A1368" s="12" t="inlineStr">
        <is>
          <t>GB-4.1: modular gas genset 500 kW, 480 V (block GB-4, unit 1 of 5)</t>
        </is>
      </c>
      <c r="B1368" s="12" t="inlineStr">
        <is>
          <t>GB-4.1</t>
        </is>
      </c>
      <c r="C1368" s="12" t="inlineStr">
        <is>
          <t>I</t>
        </is>
      </c>
      <c r="D1368" s="12" t="inlineStr">
        <is>
          <t>GB-4.1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GB-4.2: modular gas genset 500 kW, 480 V (block GB-4, unit 2 of 5)</t>
        </is>
      </c>
      <c r="B1369" s="12" t="inlineStr">
        <is>
          <t>GB-4.2</t>
        </is>
      </c>
      <c r="C1369" s="12" t="inlineStr">
        <is>
          <t>I</t>
        </is>
      </c>
      <c r="D1369" s="12" t="inlineStr">
        <is>
          <t>GB-4.2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GB-4.3: modular gas genset 500 kW, 480 V (block GB-4, unit 3 of 5)</t>
        </is>
      </c>
      <c r="B1370" s="12" t="inlineStr">
        <is>
          <t>GB-4.3</t>
        </is>
      </c>
      <c r="C1370" s="12" t="inlineStr">
        <is>
          <t>I</t>
        </is>
      </c>
      <c r="D1370" s="12" t="inlineStr">
        <is>
          <t>GB-4.3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GB-4.4: modular gas genset 500 kW, 480 V (block GB-4, unit 4 of 5)</t>
        </is>
      </c>
      <c r="B1371" s="12" t="inlineStr">
        <is>
          <t>GB-4.4</t>
        </is>
      </c>
      <c r="C1371" s="12" t="inlineStr">
        <is>
          <t>I</t>
        </is>
      </c>
      <c r="D1371" s="12" t="inlineStr">
        <is>
          <t>GB-4.4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GB-4.5: modular gas genset 500 kW, 480 V (block GB-4, unit 5 of 5)</t>
        </is>
      </c>
      <c r="B1372" s="12" t="inlineStr">
        <is>
          <t>GB-4.5</t>
        </is>
      </c>
      <c r="C1372" s="12" t="inlineStr">
        <is>
          <t>I</t>
        </is>
      </c>
      <c r="D1372" s="12" t="inlineStr">
        <is>
          <t>GB-4.5 aux power: jacket-water heater, battery charger, enclosure</t>
        </is>
      </c>
      <c r="E1372" s="12" t="n">
        <v>480</v>
      </c>
      <c r="F1372" s="12" t="n">
        <v>15</v>
      </c>
      <c r="G1372" s="12" t="n">
        <v>19</v>
      </c>
      <c r="H1372" s="12" t="inlineStr">
        <is>
          <t>GBC-4: block GB-4 generator collector box, 480 V outdoor swi</t>
        </is>
      </c>
      <c r="I1372" s="12" t="inlineStr">
        <is>
          <t>LV 600 V</t>
        </is>
      </c>
      <c r="J1372" s="12" t="inlineStr">
        <is>
          <t>10</t>
        </is>
      </c>
      <c r="K1372" s="12" t="n">
        <v>1</v>
      </c>
    </row>
    <row r="1373">
      <c r="A1373" s="12" t="inlineStr">
        <is>
          <t xml:space="preserve">GBC-1: block GB-1 generator collector box, 480 V outdoor switchboard, </t>
        </is>
      </c>
      <c r="B1373" s="12" t="inlineStr">
        <is>
          <t>GBC-1</t>
        </is>
      </c>
      <c r="C1373" s="12" t="inlineStr">
        <is>
          <t>I</t>
        </is>
      </c>
      <c r="D1373" s="12" t="inlineStr">
        <is>
          <t>L1 GB-1.1 480 V generator leads to GBC-1</t>
        </is>
      </c>
      <c r="E1373" s="12" t="n">
        <v>480</v>
      </c>
      <c r="F1373" s="12" t="n">
        <v>500</v>
      </c>
      <c r="G1373" s="12" t="n">
        <v>601</v>
      </c>
      <c r="H1373" s="12" t="inlineStr">
        <is>
          <t>GB-1.1: modular gas genset 500 kW, 480 V (block GB-1, unit 1</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GB-1.2 480 V generator leads to GBC-1</t>
        </is>
      </c>
      <c r="E1374" s="12" t="n">
        <v>480</v>
      </c>
      <c r="F1374" s="12" t="n">
        <v>500</v>
      </c>
      <c r="G1374" s="12" t="n">
        <v>601</v>
      </c>
      <c r="H1374" s="12" t="inlineStr">
        <is>
          <t>GB-1.2: modular gas genset 500 kW, 480 V (block GB-1, unit 2</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GB-1.3 480 V generator leads to GBC-1</t>
        </is>
      </c>
      <c r="E1375" s="12" t="n">
        <v>480</v>
      </c>
      <c r="F1375" s="12" t="n">
        <v>500</v>
      </c>
      <c r="G1375" s="12" t="n">
        <v>601</v>
      </c>
      <c r="H1375" s="12" t="inlineStr">
        <is>
          <t>GB-1.3: modular gas genset 500 kW, 480 V (block GB-1, unit 3</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GB-1.4 480 V generator leads to GBC-1</t>
        </is>
      </c>
      <c r="E1376" s="12" t="n">
        <v>480</v>
      </c>
      <c r="F1376" s="12" t="n">
        <v>500</v>
      </c>
      <c r="G1376" s="12" t="n">
        <v>601</v>
      </c>
      <c r="H1376" s="12" t="inlineStr">
        <is>
          <t>GB-1.4: modular gas genset 500 kW, 480 V (block GB-1, unit 4</t>
        </is>
      </c>
      <c r="I1376" s="12" t="inlineStr">
        <is>
          <t>LV 600 V</t>
        </is>
      </c>
      <c r="J1376" s="12" t="inlineStr">
        <is>
          <t>500 kcmil</t>
        </is>
      </c>
      <c r="K1376" s="12" t="n">
        <v>2</v>
      </c>
    </row>
    <row r="1377">
      <c r="A1377" s="12" t="inlineStr">
        <is>
          <t xml:space="preserve">GBC-1: block GB-1 generator collector box, 480 V outdoor switchboard, </t>
        </is>
      </c>
      <c r="B1377" s="12" t="inlineStr">
        <is>
          <t>GBC-1</t>
        </is>
      </c>
      <c r="C1377" s="12" t="inlineStr">
        <is>
          <t>I</t>
        </is>
      </c>
      <c r="D1377" s="12" t="inlineStr">
        <is>
          <t>L1 GB-1.5 480 V generator leads to GBC-1</t>
        </is>
      </c>
      <c r="E1377" s="12" t="n">
        <v>480</v>
      </c>
      <c r="F1377" s="12" t="n">
        <v>500</v>
      </c>
      <c r="G1377" s="12" t="n">
        <v>601</v>
      </c>
      <c r="H1377" s="12" t="inlineStr">
        <is>
          <t>GB-1.5: modular gas genset 500 kW, 480 V (block GB-1, unit 5</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GB-2.1 480 V generator leads to GBC-2</t>
        </is>
      </c>
      <c r="E1378" s="12" t="n">
        <v>480</v>
      </c>
      <c r="F1378" s="12" t="n">
        <v>500</v>
      </c>
      <c r="G1378" s="12" t="n">
        <v>601</v>
      </c>
      <c r="H1378" s="12" t="inlineStr">
        <is>
          <t>GB-2.1: modular gas genset 500 kW, 480 V (block GB-2, unit 1</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GB-2.2 480 V generator leads to GBC-2</t>
        </is>
      </c>
      <c r="E1379" s="12" t="n">
        <v>480</v>
      </c>
      <c r="F1379" s="12" t="n">
        <v>500</v>
      </c>
      <c r="G1379" s="12" t="n">
        <v>601</v>
      </c>
      <c r="H1379" s="12" t="inlineStr">
        <is>
          <t>GB-2.2: modular gas genset 500 kW, 480 V (block GB-2, unit 2</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GB-2.3 480 V generator leads to GBC-2</t>
        </is>
      </c>
      <c r="E1380" s="12" t="n">
        <v>480</v>
      </c>
      <c r="F1380" s="12" t="n">
        <v>500</v>
      </c>
      <c r="G1380" s="12" t="n">
        <v>601</v>
      </c>
      <c r="H1380" s="12" t="inlineStr">
        <is>
          <t>GB-2.3: modular gas genset 500 kW, 480 V (block GB-2, unit 3</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GB-2.4 480 V generator leads to GBC-2</t>
        </is>
      </c>
      <c r="E1381" s="12" t="n">
        <v>480</v>
      </c>
      <c r="F1381" s="12" t="n">
        <v>500</v>
      </c>
      <c r="G1381" s="12" t="n">
        <v>601</v>
      </c>
      <c r="H1381" s="12" t="inlineStr">
        <is>
          <t>GB-2.4: modular gas genset 500 kW, 480 V (block GB-2, unit 4</t>
        </is>
      </c>
      <c r="I1381" s="12" t="inlineStr">
        <is>
          <t>LV 600 V</t>
        </is>
      </c>
      <c r="J1381" s="12" t="inlineStr">
        <is>
          <t>500 kcmil</t>
        </is>
      </c>
      <c r="K1381" s="12" t="n">
        <v>2</v>
      </c>
    </row>
    <row r="1382">
      <c r="A1382" s="12" t="inlineStr">
        <is>
          <t xml:space="preserve">GBC-2: block GB-2 generator collector box, 480 V outdoor switchboard, </t>
        </is>
      </c>
      <c r="B1382" s="12" t="inlineStr">
        <is>
          <t>GBC-2</t>
        </is>
      </c>
      <c r="C1382" s="12" t="inlineStr">
        <is>
          <t>I</t>
        </is>
      </c>
      <c r="D1382" s="12" t="inlineStr">
        <is>
          <t>L1 GB-2.5 480 V generator leads to GBC-2</t>
        </is>
      </c>
      <c r="E1382" s="12" t="n">
        <v>480</v>
      </c>
      <c r="F1382" s="12" t="n">
        <v>500</v>
      </c>
      <c r="G1382" s="12" t="n">
        <v>601</v>
      </c>
      <c r="H1382" s="12" t="inlineStr">
        <is>
          <t>GB-2.5: modular gas genset 500 kW, 480 V (block GB-2, unit 5</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GB-3.1 480 V generator leads to GBC-3</t>
        </is>
      </c>
      <c r="E1383" s="12" t="n">
        <v>480</v>
      </c>
      <c r="F1383" s="12" t="n">
        <v>500</v>
      </c>
      <c r="G1383" s="12" t="n">
        <v>601</v>
      </c>
      <c r="H1383" s="12" t="inlineStr">
        <is>
          <t>GB-3.1: modular gas genset 500 kW, 480 V (block GB-3, unit 1</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GB-3.2 480 V generator leads to GBC-3</t>
        </is>
      </c>
      <c r="E1384" s="12" t="n">
        <v>480</v>
      </c>
      <c r="F1384" s="12" t="n">
        <v>500</v>
      </c>
      <c r="G1384" s="12" t="n">
        <v>601</v>
      </c>
      <c r="H1384" s="12" t="inlineStr">
        <is>
          <t>GB-3.2: modular gas genset 500 kW, 480 V (block GB-3, unit 2</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GB-3.3 480 V generator leads to GBC-3</t>
        </is>
      </c>
      <c r="E1385" s="12" t="n">
        <v>480</v>
      </c>
      <c r="F1385" s="12" t="n">
        <v>500</v>
      </c>
      <c r="G1385" s="12" t="n">
        <v>601</v>
      </c>
      <c r="H1385" s="12" t="inlineStr">
        <is>
          <t>GB-3.3: modular gas genset 500 kW, 480 V (block GB-3, unit 3</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GB-3.4 480 V generator leads to GBC-3</t>
        </is>
      </c>
      <c r="E1386" s="12" t="n">
        <v>480</v>
      </c>
      <c r="F1386" s="12" t="n">
        <v>500</v>
      </c>
      <c r="G1386" s="12" t="n">
        <v>601</v>
      </c>
      <c r="H1386" s="12" t="inlineStr">
        <is>
          <t>GB-3.4: modular gas genset 500 kW, 480 V (block GB-3, unit 4</t>
        </is>
      </c>
      <c r="I1386" s="12" t="inlineStr">
        <is>
          <t>LV 600 V</t>
        </is>
      </c>
      <c r="J1386" s="12" t="inlineStr">
        <is>
          <t>500 kcmil</t>
        </is>
      </c>
      <c r="K1386" s="12" t="n">
        <v>2</v>
      </c>
    </row>
    <row r="1387">
      <c r="A1387" s="12" t="inlineStr">
        <is>
          <t xml:space="preserve">GBC-3: block GB-3 generator collector box, 480 V outdoor switchboard, </t>
        </is>
      </c>
      <c r="B1387" s="12" t="inlineStr">
        <is>
          <t>GBC-3</t>
        </is>
      </c>
      <c r="C1387" s="12" t="inlineStr">
        <is>
          <t>I</t>
        </is>
      </c>
      <c r="D1387" s="12" t="inlineStr">
        <is>
          <t>L1 GB-3.5 480 V generator leads to GBC-3</t>
        </is>
      </c>
      <c r="E1387" s="12" t="n">
        <v>480</v>
      </c>
      <c r="F1387" s="12" t="n">
        <v>500</v>
      </c>
      <c r="G1387" s="12" t="n">
        <v>601</v>
      </c>
      <c r="H1387" s="12" t="inlineStr">
        <is>
          <t>GB-3.5: modular gas genset 500 kW, 480 V (block GB-3, unit 5</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GB-4.1 480 V generator leads to GBC-4</t>
        </is>
      </c>
      <c r="E1388" s="12" t="n">
        <v>480</v>
      </c>
      <c r="F1388" s="12" t="n">
        <v>500</v>
      </c>
      <c r="G1388" s="12" t="n">
        <v>601</v>
      </c>
      <c r="H1388" s="12" t="inlineStr">
        <is>
          <t>GB-4.1: modular gas genset 500 kW, 480 V (block GB-4, unit 1</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GB-4.2 480 V generator leads to GBC-4</t>
        </is>
      </c>
      <c r="E1389" s="12" t="n">
        <v>480</v>
      </c>
      <c r="F1389" s="12" t="n">
        <v>500</v>
      </c>
      <c r="G1389" s="12" t="n">
        <v>601</v>
      </c>
      <c r="H1389" s="12" t="inlineStr">
        <is>
          <t>GB-4.2: modular gas genset 500 kW, 480 V (block GB-4, unit 2</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GB-4.3 480 V generator leads to GBC-4</t>
        </is>
      </c>
      <c r="E1390" s="12" t="n">
        <v>480</v>
      </c>
      <c r="F1390" s="12" t="n">
        <v>500</v>
      </c>
      <c r="G1390" s="12" t="n">
        <v>601</v>
      </c>
      <c r="H1390" s="12" t="inlineStr">
        <is>
          <t>GB-4.3: modular gas genset 500 kW, 480 V (block GB-4, unit 3</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GB-4.4 480 V generator leads to GBC-4</t>
        </is>
      </c>
      <c r="E1391" s="12" t="n">
        <v>480</v>
      </c>
      <c r="F1391" s="12" t="n">
        <v>500</v>
      </c>
      <c r="G1391" s="12" t="n">
        <v>601</v>
      </c>
      <c r="H1391" s="12" t="inlineStr">
        <is>
          <t>GB-4.4: modular gas genset 500 kW, 480 V (block GB-4, unit 4</t>
        </is>
      </c>
      <c r="I1391" s="12" t="inlineStr">
        <is>
          <t>LV 600 V</t>
        </is>
      </c>
      <c r="J1391" s="12" t="inlineStr">
        <is>
          <t>500 kcmil</t>
        </is>
      </c>
      <c r="K1391" s="12" t="n">
        <v>2</v>
      </c>
    </row>
    <row r="1392">
      <c r="A1392" s="12" t="inlineStr">
        <is>
          <t xml:space="preserve">GBC-4: block GB-4 generator collector box, 480 V outdoor switchboard, </t>
        </is>
      </c>
      <c r="B1392" s="12" t="inlineStr">
        <is>
          <t>GBC-4</t>
        </is>
      </c>
      <c r="C1392" s="12" t="inlineStr">
        <is>
          <t>I</t>
        </is>
      </c>
      <c r="D1392" s="12" t="inlineStr">
        <is>
          <t>L1 GB-4.5 480 V generator leads to GBC-4</t>
        </is>
      </c>
      <c r="E1392" s="12" t="n">
        <v>480</v>
      </c>
      <c r="F1392" s="12" t="n">
        <v>500</v>
      </c>
      <c r="G1392" s="12" t="n">
        <v>601</v>
      </c>
      <c r="H1392" s="12" t="inlineStr">
        <is>
          <t>GB-4.5: modular gas genset 500 kW, 480 V (block GB-4, unit 5</t>
        </is>
      </c>
      <c r="I1392" s="12" t="inlineStr">
        <is>
          <t>LV 600 V</t>
        </is>
      </c>
      <c r="J1392" s="12" t="inlineStr">
        <is>
          <t>500 kcmil</t>
        </is>
      </c>
      <c r="K1392" s="12" t="n">
        <v>2</v>
      </c>
    </row>
    <row r="1393">
      <c r="A1393" s="12" t="inlineStr">
        <is>
          <t>GBT-1: block GB-1 step-up 480 V : 34.5 kV, ~3 MVA pad-mount (on the 35</t>
        </is>
      </c>
      <c r="B1393" s="12" t="inlineStr">
        <is>
          <t>GBT-1</t>
        </is>
      </c>
      <c r="C1393" s="12" t="inlineStr">
        <is>
          <t>I</t>
        </is>
      </c>
      <c r="D1393" s="12" t="inlineStr">
        <is>
          <t>L2 GBC-1 to GBT-1 480 V block feed</t>
        </is>
      </c>
      <c r="E1393" s="12" t="n">
        <v>480</v>
      </c>
      <c r="F1393" s="12" t="n">
        <v>2500</v>
      </c>
      <c r="G1393" s="12" t="n">
        <v>3007</v>
      </c>
      <c r="H1393" s="12" t="inlineStr">
        <is>
          <t>GBC-1: block GB-1 generator collector box, 480 V outdoor swi</t>
        </is>
      </c>
      <c r="I1393" s="12" t="inlineStr">
        <is>
          <t>LV 600 V</t>
        </is>
      </c>
      <c r="J1393" s="12" t="inlineStr">
        <is>
          <t>600 kcmil</t>
        </is>
      </c>
      <c r="K1393" s="12" t="n">
        <v>8</v>
      </c>
    </row>
    <row r="1394">
      <c r="A1394" s="12" t="inlineStr">
        <is>
          <t>GBT-2: block GB-2 step-up 480 V : 34.5 kV, ~3 MVA pad-mount (on the 35</t>
        </is>
      </c>
      <c r="B1394" s="12" t="inlineStr">
        <is>
          <t>GBT-2</t>
        </is>
      </c>
      <c r="C1394" s="12" t="inlineStr">
        <is>
          <t>I</t>
        </is>
      </c>
      <c r="D1394" s="12" t="inlineStr">
        <is>
          <t>L2 GBC-2 to GBT-2 480 V block feed</t>
        </is>
      </c>
      <c r="E1394" s="12" t="n">
        <v>480</v>
      </c>
      <c r="F1394" s="12" t="n">
        <v>2500</v>
      </c>
      <c r="G1394" s="12" t="n">
        <v>3007</v>
      </c>
      <c r="H1394" s="12" t="inlineStr">
        <is>
          <t>GBC-2: block GB-2 generator collector box, 480 V outdoor swi</t>
        </is>
      </c>
      <c r="I1394" s="12" t="inlineStr">
        <is>
          <t>LV 600 V</t>
        </is>
      </c>
      <c r="J1394" s="12" t="inlineStr">
        <is>
          <t>600 kcmil</t>
        </is>
      </c>
      <c r="K1394" s="12" t="n">
        <v>8</v>
      </c>
    </row>
    <row r="1395">
      <c r="A1395" s="12" t="inlineStr">
        <is>
          <t>GBT-3: block GB-3 step-up 480 V : 34.5 kV, ~3 MVA pad-mount (on the 35</t>
        </is>
      </c>
      <c r="B1395" s="12" t="inlineStr">
        <is>
          <t>GBT-3</t>
        </is>
      </c>
      <c r="C1395" s="12" t="inlineStr">
        <is>
          <t>I</t>
        </is>
      </c>
      <c r="D1395" s="12" t="inlineStr">
        <is>
          <t>L2 GBC-3 to GBT-3 480 V block feed</t>
        </is>
      </c>
      <c r="E1395" s="12" t="n">
        <v>480</v>
      </c>
      <c r="F1395" s="12" t="n">
        <v>2500</v>
      </c>
      <c r="G1395" s="12" t="n">
        <v>3007</v>
      </c>
      <c r="H1395" s="12" t="inlineStr">
        <is>
          <t>GBC-3: block GB-3 generator collector box, 480 V outdoor swi</t>
        </is>
      </c>
      <c r="I1395" s="12" t="inlineStr">
        <is>
          <t>LV 600 V</t>
        </is>
      </c>
      <c r="J1395" s="12" t="inlineStr">
        <is>
          <t>600 kcmil</t>
        </is>
      </c>
      <c r="K1395" s="12" t="n">
        <v>8</v>
      </c>
    </row>
    <row r="1396">
      <c r="A1396" s="12" t="inlineStr">
        <is>
          <t>GBT-4: block GB-4 step-up 480 V : 34.5 kV, ~3 MVA pad-mount (on the 35</t>
        </is>
      </c>
      <c r="B1396" s="12" t="inlineStr">
        <is>
          <t>GBT-4</t>
        </is>
      </c>
      <c r="C1396" s="12" t="inlineStr">
        <is>
          <t>I</t>
        </is>
      </c>
      <c r="D1396" s="12" t="inlineStr">
        <is>
          <t>L2 GBC-4 to GBT-4 480 V block feed</t>
        </is>
      </c>
      <c r="E1396" s="12" t="n">
        <v>480</v>
      </c>
      <c r="F1396" s="12" t="n">
        <v>2500</v>
      </c>
      <c r="G1396" s="12" t="n">
        <v>3007</v>
      </c>
      <c r="H1396" s="12" t="inlineStr">
        <is>
          <t>GBC-4: block GB-4 generator collector box, 480 V outdoor swi</t>
        </is>
      </c>
      <c r="I1396" s="12" t="inlineStr">
        <is>
          <t>LV 600 V</t>
        </is>
      </c>
      <c r="J1396" s="12" t="inlineStr">
        <is>
          <t>600 kcmil</t>
        </is>
      </c>
      <c r="K1396" s="12" t="n">
        <v>8</v>
      </c>
    </row>
    <row r="1397">
      <c r="A1397" s="12" t="inlineStr">
        <is>
          <t>Gas conditioning skid</t>
        </is>
      </c>
      <c r="B1397" s="12" t="inlineStr"/>
      <c r="C1397" s="12" t="inlineStr">
        <is>
          <t>I</t>
        </is>
      </c>
      <c r="D1397" s="12" t="inlineStr">
        <is>
          <t>LV power feeder</t>
        </is>
      </c>
      <c r="E1397" s="12" t="n">
        <v>480</v>
      </c>
      <c r="F1397" s="12" t="n">
        <v>30</v>
      </c>
      <c r="G1397" s="12" t="n">
        <v>42.5</v>
      </c>
      <c r="H1397" s="12" t="inlineStr">
        <is>
          <t>PCM: power control module</t>
        </is>
      </c>
      <c r="I1397" s="12" t="inlineStr">
        <is>
          <t>LV 600 V</t>
        </is>
      </c>
      <c r="J1397" s="12" t="inlineStr">
        <is>
          <t>4</t>
        </is>
      </c>
      <c r="K1397" s="12" t="n">
        <v>1</v>
      </c>
    </row>
    <row r="1398">
      <c r="A1398" s="12" t="inlineStr">
        <is>
          <t>IG-1: industrial gas-turbine installation, ~50 MW class (~50 MW)</t>
        </is>
      </c>
      <c r="B1398" s="12" t="inlineStr">
        <is>
          <t>IG-1</t>
        </is>
      </c>
      <c r="C1398" s="12" t="inlineStr">
        <is>
          <t>I</t>
        </is>
      </c>
      <c r="D1398" s="12" t="inlineStr">
        <is>
          <t>IG-1 package auxiliaries 480 V (from the unit auxiliary transformer in the control module)</t>
        </is>
      </c>
      <c r="E1398" s="12" t="n">
        <v>480</v>
      </c>
      <c r="F1398" s="12" t="n">
        <v>400</v>
      </c>
      <c r="G1398" s="12" t="n">
        <v>510</v>
      </c>
      <c r="H1398" s="12" t="inlineStr">
        <is>
          <t>IG-1: industrial gas-turbine installation, ~50 MW class (~50</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LGN-1 DC output to the inverter</t>
        </is>
      </c>
      <c r="E1399" s="12" t="n">
        <v>800</v>
      </c>
      <c r="F1399" s="12" t="n">
        <v>250</v>
      </c>
      <c r="G1399" s="12" t="n">
        <v>320</v>
      </c>
      <c r="H1399" s="12" t="inlineStr">
        <is>
          <t>LGN-1: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LGN-2 DC output to the inverter</t>
        </is>
      </c>
      <c r="E1400" s="12" t="n">
        <v>800</v>
      </c>
      <c r="F1400" s="12" t="n">
        <v>250</v>
      </c>
      <c r="G1400" s="12" t="n">
        <v>320</v>
      </c>
      <c r="H1400" s="12" t="inlineStr">
        <is>
          <t>LGN-2: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LGN-3 DC output to the inverter</t>
        </is>
      </c>
      <c r="E1401" s="12" t="n">
        <v>800</v>
      </c>
      <c r="F1401" s="12" t="n">
        <v>250</v>
      </c>
      <c r="G1401" s="12" t="n">
        <v>320</v>
      </c>
      <c r="H1401" s="12" t="inlineStr">
        <is>
          <t>LGN-3: linear generator ~250 kW (gas, no combustion engine),</t>
        </is>
      </c>
      <c r="I1401" s="12" t="inlineStr">
        <is>
          <t>LV 600 V</t>
        </is>
      </c>
      <c r="J1401" s="12" t="inlineStr">
        <is>
          <t>500 kcmil</t>
        </is>
      </c>
      <c r="K1401" s="12" t="n">
        <v>2</v>
      </c>
    </row>
    <row r="1402">
      <c r="A1402" s="12" t="inlineStr">
        <is>
          <t>LGN-INV: linear generator inverter / AC cabinet (480 V)</t>
        </is>
      </c>
      <c r="B1402" s="12" t="inlineStr">
        <is>
          <t>LGN-INV</t>
        </is>
      </c>
      <c r="C1402" s="12" t="inlineStr">
        <is>
          <t>I</t>
        </is>
      </c>
      <c r="D1402" s="12" t="inlineStr">
        <is>
          <t>LGN-4 DC output to the inverter</t>
        </is>
      </c>
      <c r="E1402" s="12" t="n">
        <v>800</v>
      </c>
      <c r="F1402" s="12" t="n">
        <v>250</v>
      </c>
      <c r="G1402" s="12" t="n">
        <v>320</v>
      </c>
      <c r="H1402" s="12" t="inlineStr">
        <is>
          <t>LGN-4: linear generator ~250 kW (gas, no combustion engine),</t>
        </is>
      </c>
      <c r="I1402" s="12" t="inlineStr">
        <is>
          <t>LV 600 V</t>
        </is>
      </c>
      <c r="J1402" s="12" t="inlineStr">
        <is>
          <t>500 kcmil</t>
        </is>
      </c>
      <c r="K1402" s="12" t="n">
        <v>2</v>
      </c>
    </row>
    <row r="1403">
      <c r="A1403" s="12" t="inlineStr">
        <is>
          <t>Lube oil / starting air / oily water building</t>
        </is>
      </c>
      <c r="B1403" s="12" t="inlineStr"/>
      <c r="C1403" s="12" t="inlineStr">
        <is>
          <t>I</t>
        </is>
      </c>
      <c r="D1403" s="12" t="inlineStr">
        <is>
          <t>LV panel / distribution feeder</t>
        </is>
      </c>
      <c r="E1403" s="12" t="n">
        <v>480</v>
      </c>
      <c r="F1403" s="12" t="n">
        <v>79</v>
      </c>
      <c r="G1403" s="12" t="n">
        <v>111.8</v>
      </c>
      <c r="H1403" s="12" t="inlineStr">
        <is>
          <t>PCM: power control module</t>
        </is>
      </c>
      <c r="I1403" s="12" t="inlineStr">
        <is>
          <t>LV 600 V</t>
        </is>
      </c>
      <c r="J1403" s="12" t="inlineStr">
        <is>
          <t>1/0</t>
        </is>
      </c>
      <c r="K1403" s="12" t="n">
        <v>1</v>
      </c>
    </row>
    <row r="1404">
      <c r="A1404" s="12" t="inlineStr">
        <is>
          <t>MOD-EH: 34.5 kV modular collector e-house (2 bus sections + 13.8 kV st</t>
        </is>
      </c>
      <c r="B1404" s="12" t="inlineStr">
        <is>
          <t>MOD-EH</t>
        </is>
      </c>
      <c r="C1404" s="12" t="inlineStr">
        <is>
          <t>I</t>
        </is>
      </c>
      <c r="D1404" s="12" t="inlineStr">
        <is>
          <t>LV panel / distribution feeder</t>
        </is>
      </c>
      <c r="E1404" s="12" t="n">
        <v>480</v>
      </c>
      <c r="F1404" s="12" t="n">
        <v>30</v>
      </c>
      <c r="G1404" s="12" t="n">
        <v>42.5</v>
      </c>
      <c r="H1404" s="12" t="inlineStr">
        <is>
          <t>MOD-LV 480 V board + 480 V : 13.8 kV step-up</t>
        </is>
      </c>
      <c r="I1404" s="12" t="inlineStr">
        <is>
          <t>LV 600 V</t>
        </is>
      </c>
      <c r="J1404" s="12" t="inlineStr">
        <is>
          <t>4</t>
        </is>
      </c>
      <c r="K1404" s="12" t="n">
        <v>1</v>
      </c>
    </row>
    <row r="1405">
      <c r="A1405" s="12" t="inlineStr">
        <is>
          <t>MT-4..6 480 V switchboard</t>
        </is>
      </c>
      <c r="B1405" s="12" t="inlineStr"/>
      <c r="C1405" s="12" t="inlineStr">
        <is>
          <t>I</t>
        </is>
      </c>
      <c r="D1405" s="12" t="inlineStr">
        <is>
          <t>MT-4 microturbine output to the site switchboard</t>
        </is>
      </c>
      <c r="E1405" s="12" t="n">
        <v>480</v>
      </c>
      <c r="F1405" s="12" t="n">
        <v>1000</v>
      </c>
      <c r="G1405" s="12" t="n">
        <v>1266.2</v>
      </c>
      <c r="H1405" s="12" t="inlineStr">
        <is>
          <t>MT-4: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MT-5 microturbine output to the site switchboard</t>
        </is>
      </c>
      <c r="E1406" s="12" t="n">
        <v>480</v>
      </c>
      <c r="F1406" s="12" t="n">
        <v>1000</v>
      </c>
      <c r="G1406" s="12" t="n">
        <v>1266.2</v>
      </c>
      <c r="H1406" s="12" t="inlineStr">
        <is>
          <t>MT-5: microturbine 1 MW (1 MW package class)</t>
        </is>
      </c>
      <c r="I1406" s="12" t="inlineStr">
        <is>
          <t>LV 600 V</t>
        </is>
      </c>
      <c r="J1406" s="12" t="inlineStr">
        <is>
          <t>350 kcmil</t>
        </is>
      </c>
      <c r="K1406" s="12" t="n">
        <v>6</v>
      </c>
    </row>
    <row r="1407">
      <c r="A1407" s="12" t="inlineStr">
        <is>
          <t>MT-4..6 480 V switchboard</t>
        </is>
      </c>
      <c r="B1407" s="12" t="inlineStr"/>
      <c r="C1407" s="12" t="inlineStr">
        <is>
          <t>I</t>
        </is>
      </c>
      <c r="D1407" s="12" t="inlineStr">
        <is>
          <t>MT-6 microturbine output to the site switchboard</t>
        </is>
      </c>
      <c r="E1407" s="12" t="n">
        <v>480</v>
      </c>
      <c r="F1407" s="12" t="n">
        <v>1000</v>
      </c>
      <c r="G1407" s="12" t="n">
        <v>1266.2</v>
      </c>
      <c r="H1407" s="12" t="inlineStr">
        <is>
          <t>MT-6: microturbine 1 MW (1 MW package class)</t>
        </is>
      </c>
      <c r="I1407" s="12" t="inlineStr">
        <is>
          <t>LV 600 V</t>
        </is>
      </c>
      <c r="J1407" s="12" t="inlineStr">
        <is>
          <t>350 kcmil</t>
        </is>
      </c>
      <c r="K1407" s="12" t="n">
        <v>6</v>
      </c>
    </row>
    <row r="1408">
      <c r="A1408" s="12" t="inlineStr">
        <is>
          <t>MT-TX: 480 V : 13.8 kV, ~3.75 MVA pad-mount (microturbine site)</t>
        </is>
      </c>
      <c r="B1408" s="12" t="inlineStr">
        <is>
          <t>MT-TX</t>
        </is>
      </c>
      <c r="C1408" s="12" t="inlineStr">
        <is>
          <t>I</t>
        </is>
      </c>
      <c r="D1408" s="12" t="inlineStr">
        <is>
          <t>Microturbine site switchboard to MT-TX 480 V secondary</t>
        </is>
      </c>
      <c r="E1408" s="12" t="n">
        <v>480</v>
      </c>
      <c r="F1408" s="12" t="n">
        <v>3000</v>
      </c>
      <c r="G1408" s="12" t="n">
        <v>3798</v>
      </c>
      <c r="H1408" s="12" t="inlineStr">
        <is>
          <t>MT-4..6 480 V switchboard</t>
        </is>
      </c>
      <c r="I1408" s="12" t="inlineStr">
        <is>
          <t>LV 600 V</t>
        </is>
      </c>
      <c r="J1408" s="12" t="inlineStr">
        <is>
          <t>750 kcmil</t>
        </is>
      </c>
      <c r="K1408" s="12" t="n">
        <v>11</v>
      </c>
    </row>
    <row r="1409">
      <c r="A1409" s="12" t="inlineStr">
        <is>
          <t xml:space="preserve">MTG-1: mid-size industrial gas-turbine generator package ~16 MW, 13.8 </t>
        </is>
      </c>
      <c r="B1409" s="12" t="inlineStr">
        <is>
          <t>MTG-1</t>
        </is>
      </c>
      <c r="C1409" s="12" t="inlineStr">
        <is>
          <t>I</t>
        </is>
      </c>
      <c r="D1409" s="12" t="inlineStr">
        <is>
          <t>MTG-1 480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 xml:space="preserve">MTG-2: mid-size industrial gas-turbine generator package ~16 MW, 13.8 </t>
        </is>
      </c>
      <c r="B1410" s="12" t="inlineStr">
        <is>
          <t>MTG-2</t>
        </is>
      </c>
      <c r="C1410" s="12" t="inlineStr">
        <is>
          <t>I</t>
        </is>
      </c>
      <c r="D1410" s="12" t="inlineStr">
        <is>
          <t>MTG-2 480 V auxiliaries (lube-oil pumps, cooler fans, enclosure ventilation)</t>
        </is>
      </c>
      <c r="E1410" s="12" t="n">
        <v>480</v>
      </c>
      <c r="F1410" s="12" t="n">
        <v>120</v>
      </c>
      <c r="G1410" s="12" t="n">
        <v>170</v>
      </c>
      <c r="H1410" s="12" t="inlineStr">
        <is>
          <t>MTG-CB: control and MCC building (unit controls, 480 V MCC)</t>
        </is>
      </c>
      <c r="I1410" s="12" t="inlineStr">
        <is>
          <t>LV 600 V</t>
        </is>
      </c>
      <c r="J1410" s="12" t="inlineStr">
        <is>
          <t>250 kcmil</t>
        </is>
      </c>
      <c r="K1410" s="12" t="n">
        <v>1</v>
      </c>
    </row>
    <row r="1411">
      <c r="A1411" s="12" t="inlineStr">
        <is>
          <t>MTG-CB: control and MCC building (unit controls, 480 V MCC)</t>
        </is>
      </c>
      <c r="B1411" s="12" t="inlineStr">
        <is>
          <t>MTG-CB</t>
        </is>
      </c>
      <c r="C1411" s="12" t="inlineStr">
        <is>
          <t>I</t>
        </is>
      </c>
      <c r="D1411" s="12" t="inlineStr">
        <is>
          <t>MTG-CB 480 V MCC from MTG-AUX</t>
        </is>
      </c>
      <c r="E1411" s="12" t="n">
        <v>480</v>
      </c>
      <c r="F1411" s="12" t="n">
        <v>600</v>
      </c>
      <c r="G1411" s="12" t="n">
        <v>759.7</v>
      </c>
      <c r="H1411" s="12" t="inlineStr">
        <is>
          <t>MTG-AUX: 13.8 / 0.48 kV auxiliary transformer</t>
        </is>
      </c>
      <c r="I1411" s="12" t="inlineStr">
        <is>
          <t>LV 600 V</t>
        </is>
      </c>
      <c r="J1411" s="12" t="inlineStr">
        <is>
          <t>500 kcmil</t>
        </is>
      </c>
      <c r="K1411" s="12" t="n">
        <v>3</v>
      </c>
    </row>
    <row r="1412">
      <c r="A1412" s="12" t="inlineStr">
        <is>
          <t>MTG-FG: fuel-gas conditioning skid (scrubber, filter-separator, heater</t>
        </is>
      </c>
      <c r="B1412" s="12" t="inlineStr">
        <is>
          <t>MTG-FG</t>
        </is>
      </c>
      <c r="C1412" s="12" t="inlineStr">
        <is>
          <t>I</t>
        </is>
      </c>
      <c r="D1412" s="12" t="inlineStr">
        <is>
          <t>MTG-FG gas heater and skid power (Class I Div 2)</t>
        </is>
      </c>
      <c r="E1412" s="12" t="n">
        <v>480</v>
      </c>
      <c r="F1412" s="12" t="n">
        <v>60</v>
      </c>
      <c r="G1412" s="12" t="n">
        <v>84.90000000000001</v>
      </c>
      <c r="H1412" s="12" t="inlineStr">
        <is>
          <t>MTG-CB: control and MCC building (unit controls, 480 V MCC)</t>
        </is>
      </c>
      <c r="I1412" s="12" t="inlineStr">
        <is>
          <t>LV 600 V</t>
        </is>
      </c>
      <c r="J1412" s="12" t="inlineStr">
        <is>
          <t>2</t>
        </is>
      </c>
      <c r="K1412" s="12" t="n">
        <v>1</v>
      </c>
    </row>
    <row r="1413">
      <c r="A1413" s="12" t="inlineStr">
        <is>
          <t>MTG-SWG: 13.8 kV switchgear e-house (2 generator breakers, site feeder</t>
        </is>
      </c>
      <c r="B1413" s="12" t="inlineStr">
        <is>
          <t>MTG-SWG</t>
        </is>
      </c>
      <c r="C1413" s="12" t="inlineStr">
        <is>
          <t>I</t>
        </is>
      </c>
      <c r="D1413" s="12" t="inlineStr">
        <is>
          <t>MTG-SWG station service: DC charger, heaters, HVAC, lighting</t>
        </is>
      </c>
      <c r="E1413" s="12" t="n">
        <v>480</v>
      </c>
      <c r="F1413" s="12" t="n">
        <v>45</v>
      </c>
      <c r="G1413" s="12" t="n">
        <v>57</v>
      </c>
      <c r="H1413" s="12" t="inlineStr">
        <is>
          <t>MTG-CB: control and MCC building (unit controls, 480 V MCC)</t>
        </is>
      </c>
      <c r="I1413" s="12" t="inlineStr">
        <is>
          <t>LV 600 V</t>
        </is>
      </c>
      <c r="J1413" s="12" t="inlineStr">
        <is>
          <t>4</t>
        </is>
      </c>
      <c r="K1413" s="12" t="n">
        <v>1</v>
      </c>
    </row>
    <row r="1414">
      <c r="A1414" s="12" t="inlineStr">
        <is>
          <t>PAD-EH 13.8 kV switchgear e-house</t>
        </is>
      </c>
      <c r="B1414" s="12" t="inlineStr">
        <is>
          <t>PAD-EH</t>
        </is>
      </c>
      <c r="C1414" s="12" t="inlineStr">
        <is>
          <t>I</t>
        </is>
      </c>
      <c r="D1414" s="12" t="inlineStr">
        <is>
          <t>PAD-EH station service: DC charger, heaters, HVAC, lighting</t>
        </is>
      </c>
      <c r="E1414" s="12" t="n">
        <v>480</v>
      </c>
      <c r="F1414" s="12" t="n">
        <v>60</v>
      </c>
      <c r="G1414" s="12" t="n">
        <v>76</v>
      </c>
      <c r="H1414" s="12" t="inlineStr">
        <is>
          <t>PAD-LV 480 V paralleling switchboard</t>
        </is>
      </c>
      <c r="I1414" s="12" t="inlineStr">
        <is>
          <t>LV 600 V</t>
        </is>
      </c>
      <c r="J1414" s="12" t="inlineStr">
        <is>
          <t>2</t>
        </is>
      </c>
      <c r="K1414" s="12" t="n">
        <v>1</v>
      </c>
    </row>
    <row r="1415">
      <c r="A1415" s="12" t="inlineStr">
        <is>
          <t>PAD-LV 480 V paralleling switchboard</t>
        </is>
      </c>
      <c r="B1415" s="12" t="inlineStr">
        <is>
          <t>PAD-LV</t>
        </is>
      </c>
      <c r="C1415" s="12" t="inlineStr">
        <is>
          <t>I</t>
        </is>
      </c>
      <c r="D1415" s="12" t="inlineStr">
        <is>
          <t>LGN-INV 480 V AC to PAD-LV</t>
        </is>
      </c>
      <c r="E1415" s="12" t="n">
        <v>480</v>
      </c>
      <c r="F1415" s="12" t="n">
        <v>1000</v>
      </c>
      <c r="G1415" s="12" t="n">
        <v>1266.2</v>
      </c>
      <c r="H1415" s="12" t="inlineStr">
        <is>
          <t>LGN-INV: linear generator inverter / AC cabinet (480 V)</t>
        </is>
      </c>
      <c r="I1415" s="12" t="inlineStr">
        <is>
          <t>LV 600 V</t>
        </is>
      </c>
      <c r="J1415" s="12" t="inlineStr">
        <is>
          <t>350 kcmil</t>
        </is>
      </c>
      <c r="K1415" s="12" t="n">
        <v>6</v>
      </c>
    </row>
    <row r="1416">
      <c r="A1416" s="12" t="inlineStr">
        <is>
          <t>PAD-LV 480 V paralleling switchboard</t>
        </is>
      </c>
      <c r="B1416" s="12" t="inlineStr">
        <is>
          <t>PAD-LV</t>
        </is>
      </c>
      <c r="C1416" s="12" t="inlineStr">
        <is>
          <t>I</t>
        </is>
      </c>
      <c r="D1416" s="12" t="inlineStr">
        <is>
          <t>Fuel-cell AC cabinet to PAD-LV</t>
        </is>
      </c>
      <c r="E1416" s="12" t="n">
        <v>480</v>
      </c>
      <c r="F1416" s="12" t="n">
        <v>1000</v>
      </c>
      <c r="G1416" s="12" t="n">
        <v>1266.2</v>
      </c>
      <c r="H1416" s="12" t="inlineStr">
        <is>
          <t>FC-5..8 inverter / AC cabinet / desulfurizer</t>
        </is>
      </c>
      <c r="I1416" s="12" t="inlineStr">
        <is>
          <t>LV 600 V</t>
        </is>
      </c>
      <c r="J1416" s="12" t="inlineStr">
        <is>
          <t>350 kcmil</t>
        </is>
      </c>
      <c r="K1416" s="12" t="n">
        <v>6</v>
      </c>
    </row>
    <row r="1417">
      <c r="A1417" s="12" t="inlineStr">
        <is>
          <t>PAD-TX 480 V : 13.8 kV</t>
        </is>
      </c>
      <c r="B1417" s="12" t="inlineStr">
        <is>
          <t>PAD-TX</t>
        </is>
      </c>
      <c r="C1417" s="12" t="inlineStr">
        <is>
          <t>I</t>
        </is>
      </c>
      <c r="D1417" s="12" t="inlineStr">
        <is>
          <t>PAD-LV to PAD-TX</t>
        </is>
      </c>
      <c r="E1417" s="12" t="n">
        <v>480</v>
      </c>
      <c r="F1417" s="12" t="n">
        <v>2000</v>
      </c>
      <c r="G1417" s="12" t="n">
        <v>2400</v>
      </c>
      <c r="H1417" s="12" t="inlineStr">
        <is>
          <t>PAD-LV 480 V paralleling switchboard</t>
        </is>
      </c>
      <c r="I1417" s="12" t="inlineStr">
        <is>
          <t>LV 600 V</t>
        </is>
      </c>
      <c r="J1417" s="12" t="inlineStr">
        <is>
          <t>500 kcmil</t>
        </is>
      </c>
      <c r="K1417" s="12" t="n">
        <v>8</v>
      </c>
    </row>
    <row r="1418">
      <c r="A1418" s="12" t="inlineStr">
        <is>
          <t>PCM: power control module</t>
        </is>
      </c>
      <c r="B1418" s="12" t="inlineStr"/>
      <c r="C1418" s="12" t="inlineStr">
        <is>
          <t>I</t>
        </is>
      </c>
      <c r="D1418" s="12" t="inlineStr">
        <is>
          <t>LV panel / distribution feeder</t>
        </is>
      </c>
      <c r="E1418" s="12" t="n">
        <v>480</v>
      </c>
      <c r="F1418" s="12" t="n">
        <v>38</v>
      </c>
      <c r="G1418" s="12" t="n">
        <v>53.8</v>
      </c>
      <c r="H1418" s="12" t="inlineStr">
        <is>
          <t>PCM: power control module</t>
        </is>
      </c>
      <c r="I1418" s="12" t="inlineStr">
        <is>
          <t>LV 600 V</t>
        </is>
      </c>
      <c r="J1418" s="12" t="inlineStr">
        <is>
          <t>4</t>
        </is>
      </c>
      <c r="K1418" s="12" t="n">
        <v>1</v>
      </c>
    </row>
    <row r="1419">
      <c r="A1419" s="12" t="inlineStr">
        <is>
          <t>PGS-SWG: 480 V paralleling switchgear (8 generator breakers, 2 transfo</t>
        </is>
      </c>
      <c r="B1419" s="12" t="inlineStr">
        <is>
          <t>PGS-SWG</t>
        </is>
      </c>
      <c r="C1419" s="12" t="inlineStr">
        <is>
          <t>I</t>
        </is>
      </c>
      <c r="D1419" s="12" t="inlineStr">
        <is>
          <t>PGS-1 480 V generator leads to the paralleling switchgear</t>
        </is>
      </c>
      <c r="E1419" s="12" t="n">
        <v>480</v>
      </c>
      <c r="F1419" s="12" t="n">
        <v>1000</v>
      </c>
      <c r="G1419" s="12" t="n">
        <v>1203</v>
      </c>
      <c r="H1419" s="12" t="inlineStr">
        <is>
          <t>PGS-1: enclosed gas genset 1 MW, 480 V (paralleled, unit 1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PGS-2 480 V generator leads to the paralleling switchgear</t>
        </is>
      </c>
      <c r="E1420" s="12" t="n">
        <v>480</v>
      </c>
      <c r="F1420" s="12" t="n">
        <v>1000</v>
      </c>
      <c r="G1420" s="12" t="n">
        <v>1203</v>
      </c>
      <c r="H1420" s="12" t="inlineStr">
        <is>
          <t>PGS-2: enclosed gas genset 1 MW, 480 V (paralleled, unit 2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PGS-3 480 V generator leads to the paralleling switchgear</t>
        </is>
      </c>
      <c r="E1421" s="12" t="n">
        <v>480</v>
      </c>
      <c r="F1421" s="12" t="n">
        <v>1000</v>
      </c>
      <c r="G1421" s="12" t="n">
        <v>1203</v>
      </c>
      <c r="H1421" s="12" t="inlineStr">
        <is>
          <t>PGS-3: enclosed gas genset 1 MW, 480 V (paralleled, unit 3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PGS-4 480 V generator leads to the paralleling switchgear</t>
        </is>
      </c>
      <c r="E1422" s="12" t="n">
        <v>480</v>
      </c>
      <c r="F1422" s="12" t="n">
        <v>1000</v>
      </c>
      <c r="G1422" s="12" t="n">
        <v>1203</v>
      </c>
      <c r="H1422" s="12" t="inlineStr">
        <is>
          <t>PGS-4: enclosed gas genset 1 MW, 480 V (paralleled, unit 4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PGS-5 480 V generator leads to the paralleling switchgear</t>
        </is>
      </c>
      <c r="E1423" s="12" t="n">
        <v>480</v>
      </c>
      <c r="F1423" s="12" t="n">
        <v>1000</v>
      </c>
      <c r="G1423" s="12" t="n">
        <v>1203</v>
      </c>
      <c r="H1423" s="12" t="inlineStr">
        <is>
          <t>PGS-5: enclosed gas genset 1 MW, 480 V (paralleled, unit 5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PGS-6 480 V generator leads to the paralleling switchgear</t>
        </is>
      </c>
      <c r="E1424" s="12" t="n">
        <v>480</v>
      </c>
      <c r="F1424" s="12" t="n">
        <v>1000</v>
      </c>
      <c r="G1424" s="12" t="n">
        <v>1203</v>
      </c>
      <c r="H1424" s="12" t="inlineStr">
        <is>
          <t>PGS-6: enclosed gas genset 1 MW, 480 V (paralleled, unit 6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PGS-7 480 V generator leads to the paralleling switchgear</t>
        </is>
      </c>
      <c r="E1425" s="12" t="n">
        <v>480</v>
      </c>
      <c r="F1425" s="12" t="n">
        <v>1000</v>
      </c>
      <c r="G1425" s="12" t="n">
        <v>1203</v>
      </c>
      <c r="H1425" s="12" t="inlineStr">
        <is>
          <t>PGS-7: enclosed gas genset 1 MW, 480 V (paralleled, unit 7 o</t>
        </is>
      </c>
      <c r="I1425" s="12" t="inlineStr">
        <is>
          <t>LV 600 V</t>
        </is>
      </c>
      <c r="J1425" s="12" t="inlineStr">
        <is>
          <t>500 kcmil</t>
        </is>
      </c>
      <c r="K1425" s="12" t="n">
        <v>4</v>
      </c>
    </row>
    <row r="1426">
      <c r="A1426" s="12" t="inlineStr">
        <is>
          <t>PGS-SWG: 480 V paralleling switchgear (8 generator breakers, 2 transfo</t>
        </is>
      </c>
      <c r="B1426" s="12" t="inlineStr">
        <is>
          <t>PGS-SWG</t>
        </is>
      </c>
      <c r="C1426" s="12" t="inlineStr">
        <is>
          <t>I</t>
        </is>
      </c>
      <c r="D1426" s="12" t="inlineStr">
        <is>
          <t>PGS-8 480 V generator leads to the paralleling switchgear</t>
        </is>
      </c>
      <c r="E1426" s="12" t="n">
        <v>480</v>
      </c>
      <c r="F1426" s="12" t="n">
        <v>1000</v>
      </c>
      <c r="G1426" s="12" t="n">
        <v>1203</v>
      </c>
      <c r="H1426" s="12" t="inlineStr">
        <is>
          <t>PGS-8: enclosed gas genset 1 MW, 480 V (paralleled, unit 8 o</t>
        </is>
      </c>
      <c r="I1426" s="12" t="inlineStr">
        <is>
          <t>LV 600 V</t>
        </is>
      </c>
      <c r="J1426" s="12" t="inlineStr">
        <is>
          <t>500 kcmil</t>
        </is>
      </c>
      <c r="K1426" s="12" t="n">
        <v>4</v>
      </c>
    </row>
    <row r="1427">
      <c r="A1427" s="12" t="inlineStr">
        <is>
          <t>PGS-TX1: 480 V : 34.5 kV, ~5 MVA loop-feed pad-mount (gensets 1-4)</t>
        </is>
      </c>
      <c r="B1427" s="12" t="inlineStr">
        <is>
          <t>PGS-TX1</t>
        </is>
      </c>
      <c r="C1427" s="12" t="inlineStr">
        <is>
          <t>I</t>
        </is>
      </c>
      <c r="D1427" s="12" t="inlineStr">
        <is>
          <t>PGS-SWG main 1 to PGS-TX1 480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PGS-TX2: 480 V : 34.5 kV, ~5 MVA loop-feed pad-mount (gensets 5-8)</t>
        </is>
      </c>
      <c r="B1428" s="12" t="inlineStr">
        <is>
          <t>PGS-TX2</t>
        </is>
      </c>
      <c r="C1428" s="12" t="inlineStr">
        <is>
          <t>I</t>
        </is>
      </c>
      <c r="D1428" s="12" t="inlineStr">
        <is>
          <t>PGS-SWG main 2 to PGS-TX2 480 V secondary</t>
        </is>
      </c>
      <c r="E1428" s="12" t="n">
        <v>480</v>
      </c>
      <c r="F1428" s="12" t="n">
        <v>4000</v>
      </c>
      <c r="G1428" s="12" t="n">
        <v>4811</v>
      </c>
      <c r="H1428" s="12" t="inlineStr">
        <is>
          <t>PGS-SWG: 480 V paralleling switchgear (8 generator breakers,</t>
        </is>
      </c>
      <c r="I1428" s="12" t="inlineStr">
        <is>
          <t>LV 600 V</t>
        </is>
      </c>
      <c r="J1428" s="12" t="inlineStr">
        <is>
          <t>600 kcmil</t>
        </is>
      </c>
      <c r="K1428" s="12" t="n">
        <v>12</v>
      </c>
    </row>
    <row r="1429">
      <c r="A1429" s="12" t="inlineStr">
        <is>
          <t>RICE 1 SCR + oxidation catalyst and stack</t>
        </is>
      </c>
      <c r="B1429" s="12" t="inlineStr"/>
      <c r="C1429" s="12" t="inlineStr">
        <is>
          <t>I</t>
        </is>
      </c>
      <c r="D1429" s="12" t="inlineStr">
        <is>
          <t>Motor 1 of 1, 15 kW</t>
        </is>
      </c>
      <c r="E1429" s="12" t="n">
        <v>480</v>
      </c>
      <c r="F1429" s="12" t="n">
        <v>15</v>
      </c>
      <c r="G1429" s="12" t="n">
        <v>21.2</v>
      </c>
      <c r="H1429" s="12" t="inlineStr">
        <is>
          <t>PCM: power control module</t>
        </is>
      </c>
      <c r="I1429" s="12" t="inlineStr">
        <is>
          <t>LV 600 V</t>
        </is>
      </c>
      <c r="J1429" s="12" t="inlineStr">
        <is>
          <t>6</t>
        </is>
      </c>
      <c r="K1429" s="12" t="n">
        <v>1</v>
      </c>
    </row>
    <row r="1430">
      <c r="A1430" s="12" t="inlineStr">
        <is>
          <t>RICE 1 SCR + oxidation catalyst and stack</t>
        </is>
      </c>
      <c r="B1430" s="12" t="inlineStr"/>
      <c r="C1430" s="12" t="inlineStr">
        <is>
          <t>I</t>
        </is>
      </c>
      <c r="D1430" s="12" t="inlineStr">
        <is>
          <t>Area / platform lighting circuit 1 (6 fixtures)</t>
        </is>
      </c>
      <c r="E1430" s="12" t="n">
        <v>480</v>
      </c>
      <c r="F1430" s="12" t="n">
        <v>3</v>
      </c>
      <c r="G1430" s="12" t="n">
        <v>5</v>
      </c>
      <c r="H1430" s="12" t="inlineStr">
        <is>
          <t>PCM: power control module</t>
        </is>
      </c>
      <c r="I1430" s="12" t="inlineStr">
        <is>
          <t>LV 600 V</t>
        </is>
      </c>
      <c r="J1430" s="12" t="inlineStr">
        <is>
          <t>10</t>
        </is>
      </c>
      <c r="K1430" s="12" t="n">
        <v>1</v>
      </c>
    </row>
    <row r="1431">
      <c r="A1431" s="12" t="inlineStr">
        <is>
          <t>RICE 1 radiators (5)</t>
        </is>
      </c>
      <c r="B1431" s="12" t="inlineStr"/>
      <c r="C1431" s="12" t="inlineStr">
        <is>
          <t>I</t>
        </is>
      </c>
      <c r="D1431" s="12" t="inlineStr">
        <is>
          <t>Motor 1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2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3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4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1 radiators (5)</t>
        </is>
      </c>
      <c r="B1435" s="12" t="inlineStr"/>
      <c r="C1435" s="12" t="inlineStr">
        <is>
          <t>I</t>
        </is>
      </c>
      <c r="D1435" s="12" t="inlineStr">
        <is>
          <t>Motor 5 of 5, 30 kW (VFD output)</t>
        </is>
      </c>
      <c r="E1435" s="12" t="n">
        <v>480</v>
      </c>
      <c r="F1435" s="12" t="n">
        <v>30</v>
      </c>
      <c r="G1435" s="12" t="n">
        <v>42</v>
      </c>
      <c r="H1435" s="12" t="inlineStr">
        <is>
          <t>PCM: power control module</t>
        </is>
      </c>
      <c r="I1435" s="12" t="inlineStr">
        <is>
          <t>LV 600 V</t>
        </is>
      </c>
      <c r="J1435" s="12" t="inlineStr">
        <is>
          <t>1</t>
        </is>
      </c>
      <c r="K1435" s="12" t="n">
        <v>1</v>
      </c>
    </row>
    <row r="1436">
      <c r="A1436" s="12" t="inlineStr">
        <is>
          <t>RICE 2 SCR + oxidation catalyst and stack</t>
        </is>
      </c>
      <c r="B1436" s="12" t="inlineStr"/>
      <c r="C1436" s="12" t="inlineStr">
        <is>
          <t>I</t>
        </is>
      </c>
      <c r="D1436" s="12" t="inlineStr">
        <is>
          <t>Motor 1 of 1, 15 kW</t>
        </is>
      </c>
      <c r="E1436" s="12" t="n">
        <v>480</v>
      </c>
      <c r="F1436" s="12" t="n">
        <v>15</v>
      </c>
      <c r="G1436" s="12" t="n">
        <v>21.2</v>
      </c>
      <c r="H1436" s="12" t="inlineStr">
        <is>
          <t>PCM: power control module</t>
        </is>
      </c>
      <c r="I1436" s="12" t="inlineStr">
        <is>
          <t>LV 600 V</t>
        </is>
      </c>
      <c r="J1436" s="12" t="inlineStr">
        <is>
          <t>6</t>
        </is>
      </c>
      <c r="K1436" s="12" t="n">
        <v>1</v>
      </c>
    </row>
    <row r="1437">
      <c r="A1437" s="12" t="inlineStr">
        <is>
          <t>RICE 2 SCR + oxidation catalyst and stack</t>
        </is>
      </c>
      <c r="B1437" s="12" t="inlineStr"/>
      <c r="C1437" s="12" t="inlineStr">
        <is>
          <t>I</t>
        </is>
      </c>
      <c r="D1437" s="12" t="inlineStr">
        <is>
          <t>Area / platform lighting circuit 1 (6 fixtures)</t>
        </is>
      </c>
      <c r="E1437" s="12" t="n">
        <v>480</v>
      </c>
      <c r="F1437" s="12" t="n">
        <v>3</v>
      </c>
      <c r="G1437" s="12" t="n">
        <v>5</v>
      </c>
      <c r="H1437" s="12" t="inlineStr">
        <is>
          <t>PCM: power control module</t>
        </is>
      </c>
      <c r="I1437" s="12" t="inlineStr">
        <is>
          <t>LV 600 V</t>
        </is>
      </c>
      <c r="J1437" s="12" t="inlineStr">
        <is>
          <t>10</t>
        </is>
      </c>
      <c r="K1437" s="12" t="n">
        <v>1</v>
      </c>
    </row>
    <row r="1438">
      <c r="A1438" s="12" t="inlineStr">
        <is>
          <t>RICE 2 radiators (5)</t>
        </is>
      </c>
      <c r="B1438" s="12" t="inlineStr"/>
      <c r="C1438" s="12" t="inlineStr">
        <is>
          <t>I</t>
        </is>
      </c>
      <c r="D1438" s="12" t="inlineStr">
        <is>
          <t>Motor 1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2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3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4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2 radiators (5)</t>
        </is>
      </c>
      <c r="B1442" s="12" t="inlineStr"/>
      <c r="C1442" s="12" t="inlineStr">
        <is>
          <t>I</t>
        </is>
      </c>
      <c r="D1442" s="12" t="inlineStr">
        <is>
          <t>Motor 5 of 5, 30 kW (VFD output)</t>
        </is>
      </c>
      <c r="E1442" s="12" t="n">
        <v>480</v>
      </c>
      <c r="F1442" s="12" t="n">
        <v>30</v>
      </c>
      <c r="G1442" s="12" t="n">
        <v>42</v>
      </c>
      <c r="H1442" s="12" t="inlineStr">
        <is>
          <t>PCM: power control module</t>
        </is>
      </c>
      <c r="I1442" s="12" t="inlineStr">
        <is>
          <t>LV 600 V</t>
        </is>
      </c>
      <c r="J1442" s="12" t="inlineStr">
        <is>
          <t>2</t>
        </is>
      </c>
      <c r="K1442" s="12" t="n">
        <v>1</v>
      </c>
    </row>
    <row r="1443">
      <c r="A1443" s="12" t="inlineStr">
        <is>
          <t>RICE 3 SCR + oxidation catalyst and stack</t>
        </is>
      </c>
      <c r="B1443" s="12" t="inlineStr"/>
      <c r="C1443" s="12" t="inlineStr">
        <is>
          <t>I</t>
        </is>
      </c>
      <c r="D1443" s="12" t="inlineStr">
        <is>
          <t>Motor 1 of 1, 15 kW</t>
        </is>
      </c>
      <c r="E1443" s="12" t="n">
        <v>480</v>
      </c>
      <c r="F1443" s="12" t="n">
        <v>15</v>
      </c>
      <c r="G1443" s="12" t="n">
        <v>21.2</v>
      </c>
      <c r="H1443" s="12" t="inlineStr">
        <is>
          <t>PCM: power control module</t>
        </is>
      </c>
      <c r="I1443" s="12" t="inlineStr">
        <is>
          <t>LV 600 V</t>
        </is>
      </c>
      <c r="J1443" s="12" t="inlineStr">
        <is>
          <t>6</t>
        </is>
      </c>
      <c r="K1443" s="12" t="n">
        <v>1</v>
      </c>
    </row>
    <row r="1444">
      <c r="A1444" s="12" t="inlineStr">
        <is>
          <t>RICE 3 SCR + oxidation catalyst and stack</t>
        </is>
      </c>
      <c r="B1444" s="12" t="inlineStr"/>
      <c r="C1444" s="12" t="inlineStr">
        <is>
          <t>I</t>
        </is>
      </c>
      <c r="D1444" s="12" t="inlineStr">
        <is>
          <t>Area / platform lighting circuit 1 (6 fixtures)</t>
        </is>
      </c>
      <c r="E1444" s="12" t="n">
        <v>480</v>
      </c>
      <c r="F1444" s="12" t="n">
        <v>3</v>
      </c>
      <c r="G1444" s="12" t="n">
        <v>5</v>
      </c>
      <c r="H1444" s="12" t="inlineStr">
        <is>
          <t>PCM: power control module</t>
        </is>
      </c>
      <c r="I1444" s="12" t="inlineStr">
        <is>
          <t>LV 600 V</t>
        </is>
      </c>
      <c r="J1444" s="12" t="inlineStr">
        <is>
          <t>10</t>
        </is>
      </c>
      <c r="K1444" s="12" t="n">
        <v>1</v>
      </c>
    </row>
    <row r="1445">
      <c r="A1445" s="12" t="inlineStr">
        <is>
          <t>RICE 3 radiators (5)</t>
        </is>
      </c>
      <c r="B1445" s="12" t="inlineStr"/>
      <c r="C1445" s="12" t="inlineStr">
        <is>
          <t>I</t>
        </is>
      </c>
      <c r="D1445" s="12" t="inlineStr">
        <is>
          <t>Motor 1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2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3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4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3 radiators (5)</t>
        </is>
      </c>
      <c r="B1449" s="12" t="inlineStr"/>
      <c r="C1449" s="12" t="inlineStr">
        <is>
          <t>I</t>
        </is>
      </c>
      <c r="D1449" s="12" t="inlineStr">
        <is>
          <t>Motor 5 of 5, 30 kW (VFD output)</t>
        </is>
      </c>
      <c r="E1449" s="12" t="n">
        <v>480</v>
      </c>
      <c r="F1449" s="12" t="n">
        <v>30</v>
      </c>
      <c r="G1449" s="12" t="n">
        <v>42</v>
      </c>
      <c r="H1449" s="12" t="inlineStr">
        <is>
          <t>PCM: power control module</t>
        </is>
      </c>
      <c r="I1449" s="12" t="inlineStr">
        <is>
          <t>LV 600 V</t>
        </is>
      </c>
      <c r="J1449" s="12" t="inlineStr">
        <is>
          <t>2</t>
        </is>
      </c>
      <c r="K1449" s="12" t="n">
        <v>1</v>
      </c>
    </row>
    <row r="1450">
      <c r="A1450" s="12" t="inlineStr">
        <is>
          <t>RICE 4 SCR + oxidation catalyst and stack</t>
        </is>
      </c>
      <c r="B1450" s="12" t="inlineStr"/>
      <c r="C1450" s="12" t="inlineStr">
        <is>
          <t>I</t>
        </is>
      </c>
      <c r="D1450" s="12" t="inlineStr">
        <is>
          <t>Motor 1 of 1, 15 kW</t>
        </is>
      </c>
      <c r="E1450" s="12" t="n">
        <v>480</v>
      </c>
      <c r="F1450" s="12" t="n">
        <v>15</v>
      </c>
      <c r="G1450" s="12" t="n">
        <v>21.2</v>
      </c>
      <c r="H1450" s="12" t="inlineStr">
        <is>
          <t>PCM: power control module</t>
        </is>
      </c>
      <c r="I1450" s="12" t="inlineStr">
        <is>
          <t>LV 600 V</t>
        </is>
      </c>
      <c r="J1450" s="12" t="inlineStr">
        <is>
          <t>6</t>
        </is>
      </c>
      <c r="K1450" s="12" t="n">
        <v>1</v>
      </c>
    </row>
    <row r="1451">
      <c r="A1451" s="12" t="inlineStr">
        <is>
          <t>RICE 4 SCR + oxidation catalyst and stack</t>
        </is>
      </c>
      <c r="B1451" s="12" t="inlineStr"/>
      <c r="C1451" s="12" t="inlineStr">
        <is>
          <t>I</t>
        </is>
      </c>
      <c r="D1451" s="12" t="inlineStr">
        <is>
          <t>Area / platform lighting circuit 1 (6 fixtures)</t>
        </is>
      </c>
      <c r="E1451" s="12" t="n">
        <v>480</v>
      </c>
      <c r="F1451" s="12" t="n">
        <v>3</v>
      </c>
      <c r="G1451" s="12" t="n">
        <v>5</v>
      </c>
      <c r="H1451" s="12" t="inlineStr">
        <is>
          <t>PCM: power control module</t>
        </is>
      </c>
      <c r="I1451" s="12" t="inlineStr">
        <is>
          <t>LV 600 V</t>
        </is>
      </c>
      <c r="J1451" s="12" t="inlineStr">
        <is>
          <t>10</t>
        </is>
      </c>
      <c r="K1451" s="12" t="n">
        <v>1</v>
      </c>
    </row>
    <row r="1452">
      <c r="A1452" s="12" t="inlineStr">
        <is>
          <t>RICE 4 radiators (5)</t>
        </is>
      </c>
      <c r="B1452" s="12" t="inlineStr"/>
      <c r="C1452" s="12" t="inlineStr">
        <is>
          <t>I</t>
        </is>
      </c>
      <c r="D1452" s="12" t="inlineStr">
        <is>
          <t>Motor 1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2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3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4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4 radiators (5)</t>
        </is>
      </c>
      <c r="B1456" s="12" t="inlineStr"/>
      <c r="C1456" s="12" t="inlineStr">
        <is>
          <t>I</t>
        </is>
      </c>
      <c r="D1456" s="12" t="inlineStr">
        <is>
          <t>Motor 5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5 SCR + oxidation catalyst and stack</t>
        </is>
      </c>
      <c r="B1457" s="12" t="inlineStr"/>
      <c r="C1457" s="12" t="inlineStr">
        <is>
          <t>I</t>
        </is>
      </c>
      <c r="D1457" s="12" t="inlineStr">
        <is>
          <t>Motor 1 of 1, 15 kW</t>
        </is>
      </c>
      <c r="E1457" s="12" t="n">
        <v>480</v>
      </c>
      <c r="F1457" s="12" t="n">
        <v>15</v>
      </c>
      <c r="G1457" s="12" t="n">
        <v>21.2</v>
      </c>
      <c r="H1457" s="12" t="inlineStr">
        <is>
          <t>PCM: power control module</t>
        </is>
      </c>
      <c r="I1457" s="12" t="inlineStr">
        <is>
          <t>LV 600 V</t>
        </is>
      </c>
      <c r="J1457" s="12" t="inlineStr">
        <is>
          <t>8</t>
        </is>
      </c>
      <c r="K1457" s="12" t="n">
        <v>1</v>
      </c>
    </row>
    <row r="1458">
      <c r="A1458" s="12" t="inlineStr">
        <is>
          <t>RICE 5 SCR + oxidation catalyst and stack</t>
        </is>
      </c>
      <c r="B1458" s="12" t="inlineStr"/>
      <c r="C1458" s="12" t="inlineStr">
        <is>
          <t>I</t>
        </is>
      </c>
      <c r="D1458" s="12" t="inlineStr">
        <is>
          <t>Area / platform lighting circuit 1 (6 fixtures)</t>
        </is>
      </c>
      <c r="E1458" s="12" t="n">
        <v>480</v>
      </c>
      <c r="F1458" s="12" t="n">
        <v>3</v>
      </c>
      <c r="G1458" s="12" t="n">
        <v>5</v>
      </c>
      <c r="H1458" s="12" t="inlineStr">
        <is>
          <t>PCM: power control module</t>
        </is>
      </c>
      <c r="I1458" s="12" t="inlineStr">
        <is>
          <t>LV 600 V</t>
        </is>
      </c>
      <c r="J1458" s="12" t="inlineStr">
        <is>
          <t>10</t>
        </is>
      </c>
      <c r="K1458" s="12" t="n">
        <v>1</v>
      </c>
    </row>
    <row r="1459">
      <c r="A1459" s="12" t="inlineStr">
        <is>
          <t>RICE 5 radiators (5)</t>
        </is>
      </c>
      <c r="B1459" s="12" t="inlineStr"/>
      <c r="C1459" s="12" t="inlineStr">
        <is>
          <t>I</t>
        </is>
      </c>
      <c r="D1459" s="12" t="inlineStr">
        <is>
          <t>Motor 1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2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3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4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5 radiators (5)</t>
        </is>
      </c>
      <c r="B1463" s="12" t="inlineStr"/>
      <c r="C1463" s="12" t="inlineStr">
        <is>
          <t>I</t>
        </is>
      </c>
      <c r="D1463" s="12" t="inlineStr">
        <is>
          <t>Motor 5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6 SCR + oxidation catalyst and stack</t>
        </is>
      </c>
      <c r="B1464" s="12" t="inlineStr"/>
      <c r="C1464" s="12" t="inlineStr">
        <is>
          <t>I</t>
        </is>
      </c>
      <c r="D1464" s="12" t="inlineStr">
        <is>
          <t>Motor 1 of 1,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RICE 6 SCR + oxidation catalyst and stack</t>
        </is>
      </c>
      <c r="B1465" s="12" t="inlineStr"/>
      <c r="C1465" s="12" t="inlineStr">
        <is>
          <t>I</t>
        </is>
      </c>
      <c r="D1465" s="12" t="inlineStr">
        <is>
          <t>Area / platform lighting circuit 1 (6 fixtures)</t>
        </is>
      </c>
      <c r="E1465" s="12" t="n">
        <v>480</v>
      </c>
      <c r="F1465" s="12" t="n">
        <v>3</v>
      </c>
      <c r="G1465" s="12" t="n">
        <v>5</v>
      </c>
      <c r="H1465" s="12" t="inlineStr">
        <is>
          <t>PCM: power control module</t>
        </is>
      </c>
      <c r="I1465" s="12" t="inlineStr">
        <is>
          <t>LV 600 V</t>
        </is>
      </c>
      <c r="J1465" s="12" t="inlineStr">
        <is>
          <t>10</t>
        </is>
      </c>
      <c r="K1465" s="12" t="n">
        <v>1</v>
      </c>
    </row>
    <row r="1466">
      <c r="A1466" s="12" t="inlineStr">
        <is>
          <t>RICE 6 radiators (5)</t>
        </is>
      </c>
      <c r="B1466" s="12" t="inlineStr"/>
      <c r="C1466" s="12" t="inlineStr">
        <is>
          <t>I</t>
        </is>
      </c>
      <c r="D1466" s="12" t="inlineStr">
        <is>
          <t>Motor 1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2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3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4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6 radiators (5)</t>
        </is>
      </c>
      <c r="B1470" s="12" t="inlineStr"/>
      <c r="C1470" s="12" t="inlineStr">
        <is>
          <t>I</t>
        </is>
      </c>
      <c r="D1470" s="12" t="inlineStr">
        <is>
          <t>Motor 5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7 SCR + oxidation catalyst and stack</t>
        </is>
      </c>
      <c r="B1471" s="12" t="inlineStr"/>
      <c r="C1471" s="12" t="inlineStr">
        <is>
          <t>I</t>
        </is>
      </c>
      <c r="D1471" s="12" t="inlineStr">
        <is>
          <t>Motor 1 of 1, 15 kW</t>
        </is>
      </c>
      <c r="E1471" s="12" t="n">
        <v>480</v>
      </c>
      <c r="F1471" s="12" t="n">
        <v>15</v>
      </c>
      <c r="G1471" s="12" t="n">
        <v>21.2</v>
      </c>
      <c r="H1471" s="12" t="inlineStr">
        <is>
          <t>PCM: power control module</t>
        </is>
      </c>
      <c r="I1471" s="12" t="inlineStr">
        <is>
          <t>LV 600 V</t>
        </is>
      </c>
      <c r="J1471" s="12" t="inlineStr">
        <is>
          <t>10</t>
        </is>
      </c>
      <c r="K1471" s="12" t="n">
        <v>1</v>
      </c>
    </row>
    <row r="1472">
      <c r="A1472" s="12" t="inlineStr">
        <is>
          <t>RICE 7 SCR + oxidation catalyst and stack</t>
        </is>
      </c>
      <c r="B1472" s="12" t="inlineStr"/>
      <c r="C1472" s="12" t="inlineStr">
        <is>
          <t>I</t>
        </is>
      </c>
      <c r="D1472" s="12" t="inlineStr">
        <is>
          <t>Area / platform lighting circuit 1 (6 fixtures)</t>
        </is>
      </c>
      <c r="E1472" s="12" t="n">
        <v>480</v>
      </c>
      <c r="F1472" s="12" t="n">
        <v>3</v>
      </c>
      <c r="G1472" s="12" t="n">
        <v>5</v>
      </c>
      <c r="H1472" s="12" t="inlineStr">
        <is>
          <t>PCM: power control module</t>
        </is>
      </c>
      <c r="I1472" s="12" t="inlineStr">
        <is>
          <t>LV 600 V</t>
        </is>
      </c>
      <c r="J1472" s="12" t="inlineStr">
        <is>
          <t>10</t>
        </is>
      </c>
      <c r="K1472" s="12" t="n">
        <v>1</v>
      </c>
    </row>
    <row r="1473">
      <c r="A1473" s="12" t="inlineStr">
        <is>
          <t>RICE 7 radiators (5)</t>
        </is>
      </c>
      <c r="B1473" s="12" t="inlineStr"/>
      <c r="C1473" s="12" t="inlineStr">
        <is>
          <t>I</t>
        </is>
      </c>
      <c r="D1473" s="12" t="inlineStr">
        <is>
          <t>Motor 1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2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3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4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7 radiators (5)</t>
        </is>
      </c>
      <c r="B1477" s="12" t="inlineStr"/>
      <c r="C1477" s="12" t="inlineStr">
        <is>
          <t>I</t>
        </is>
      </c>
      <c r="D1477" s="12" t="inlineStr">
        <is>
          <t>Motor 5 of 5, 30 kW (VFD output)</t>
        </is>
      </c>
      <c r="E1477" s="12" t="n">
        <v>480</v>
      </c>
      <c r="F1477" s="12" t="n">
        <v>30</v>
      </c>
      <c r="G1477" s="12" t="n">
        <v>42</v>
      </c>
      <c r="H1477" s="12" t="inlineStr">
        <is>
          <t>PCM: power control module</t>
        </is>
      </c>
      <c r="I1477" s="12" t="inlineStr">
        <is>
          <t>LV 600 V</t>
        </is>
      </c>
      <c r="J1477" s="12" t="inlineStr">
        <is>
          <t>6</t>
        </is>
      </c>
      <c r="K1477" s="12" t="n">
        <v>1</v>
      </c>
    </row>
    <row r="1478">
      <c r="A1478" s="12" t="inlineStr">
        <is>
          <t>RICE 8 SCR + oxidation catalyst and stack</t>
        </is>
      </c>
      <c r="B1478" s="12" t="inlineStr"/>
      <c r="C1478" s="12" t="inlineStr">
        <is>
          <t>I</t>
        </is>
      </c>
      <c r="D1478" s="12" t="inlineStr">
        <is>
          <t>Motor 1 of 1, 15 kW</t>
        </is>
      </c>
      <c r="E1478" s="12" t="n">
        <v>480</v>
      </c>
      <c r="F1478" s="12" t="n">
        <v>15</v>
      </c>
      <c r="G1478" s="12" t="n">
        <v>21.2</v>
      </c>
      <c r="H1478" s="12" t="inlineStr">
        <is>
          <t>PCM: power control module</t>
        </is>
      </c>
      <c r="I1478" s="12" t="inlineStr">
        <is>
          <t>LV 600 V</t>
        </is>
      </c>
      <c r="J1478" s="12" t="inlineStr">
        <is>
          <t>10</t>
        </is>
      </c>
      <c r="K1478" s="12" t="n">
        <v>1</v>
      </c>
    </row>
    <row r="1479">
      <c r="A1479" s="12" t="inlineStr">
        <is>
          <t>RICE 8 SCR + oxidation catalyst and stack</t>
        </is>
      </c>
      <c r="B1479" s="12" t="inlineStr"/>
      <c r="C1479" s="12" t="inlineStr">
        <is>
          <t>I</t>
        </is>
      </c>
      <c r="D1479" s="12" t="inlineStr">
        <is>
          <t>Area / platform lighting circuit 1 (6 fixtures)</t>
        </is>
      </c>
      <c r="E1479" s="12" t="n">
        <v>480</v>
      </c>
      <c r="F1479" s="12" t="n">
        <v>3</v>
      </c>
      <c r="G1479" s="12" t="n">
        <v>5</v>
      </c>
      <c r="H1479" s="12" t="inlineStr">
        <is>
          <t>PCM: power control module</t>
        </is>
      </c>
      <c r="I1479" s="12" t="inlineStr">
        <is>
          <t>LV 600 V</t>
        </is>
      </c>
      <c r="J1479" s="12" t="inlineStr">
        <is>
          <t>10</t>
        </is>
      </c>
      <c r="K1479" s="12" t="n">
        <v>1</v>
      </c>
    </row>
    <row r="1480">
      <c r="A1480" s="12" t="inlineStr">
        <is>
          <t>RICE 8 radiators (5)</t>
        </is>
      </c>
      <c r="B1480" s="12" t="inlineStr"/>
      <c r="C1480" s="12" t="inlineStr">
        <is>
          <t>I</t>
        </is>
      </c>
      <c r="D1480" s="12" t="inlineStr">
        <is>
          <t>Motor 1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2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3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4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8 radiators (5)</t>
        </is>
      </c>
      <c r="B1484" s="12" t="inlineStr"/>
      <c r="C1484" s="12" t="inlineStr">
        <is>
          <t>I</t>
        </is>
      </c>
      <c r="D1484" s="12" t="inlineStr">
        <is>
          <t>Motor 5 of 5, 30 kW (VFD output)</t>
        </is>
      </c>
      <c r="E1484" s="12" t="n">
        <v>480</v>
      </c>
      <c r="F1484" s="12" t="n">
        <v>30</v>
      </c>
      <c r="G1484" s="12" t="n">
        <v>42</v>
      </c>
      <c r="H1484" s="12" t="inlineStr">
        <is>
          <t>PCM: power control module</t>
        </is>
      </c>
      <c r="I1484" s="12" t="inlineStr">
        <is>
          <t>LV 600 V</t>
        </is>
      </c>
      <c r="J1484" s="12" t="inlineStr">
        <is>
          <t>6</t>
        </is>
      </c>
      <c r="K1484" s="12" t="n">
        <v>1</v>
      </c>
    </row>
    <row r="1485">
      <c r="A1485" s="12" t="inlineStr">
        <is>
          <t>RICE CEMS</t>
        </is>
      </c>
      <c r="B1485" s="12" t="inlineStr"/>
      <c r="C1485" s="12" t="inlineStr">
        <is>
          <t>I</t>
        </is>
      </c>
      <c r="D1485" s="12" t="inlineStr">
        <is>
          <t>LV panel / distribution feeder</t>
        </is>
      </c>
      <c r="E1485" s="12" t="n">
        <v>480</v>
      </c>
      <c r="F1485" s="12" t="n">
        <v>30</v>
      </c>
      <c r="G1485" s="12" t="n">
        <v>42.5</v>
      </c>
      <c r="H1485" s="12" t="inlineStr">
        <is>
          <t>PCM: power control module</t>
        </is>
      </c>
      <c r="I1485" s="12" t="inlineStr">
        <is>
          <t>LV 600 V</t>
        </is>
      </c>
      <c r="J1485" s="12" t="inlineStr">
        <is>
          <t>6</t>
        </is>
      </c>
      <c r="K1485" s="12" t="n">
        <v>1</v>
      </c>
    </row>
    <row r="1486">
      <c r="A1486" s="12" t="inlineStr">
        <is>
          <t>RICE engine hall (8 engines)</t>
        </is>
      </c>
      <c r="B1486" s="12" t="inlineStr">
        <is>
          <t>RICE</t>
        </is>
      </c>
      <c r="C1486" s="12" t="inlineStr">
        <is>
          <t>I</t>
        </is>
      </c>
      <c r="D1486" s="12" t="inlineStr">
        <is>
          <t>LV power feeder</t>
        </is>
      </c>
      <c r="E1486" s="12" t="n">
        <v>480</v>
      </c>
      <c r="F1486" s="12" t="n">
        <v>15</v>
      </c>
      <c r="G1486" s="12" t="n">
        <v>21.2</v>
      </c>
      <c r="H1486" s="12" t="inlineStr">
        <is>
          <t>PCM: power control module</t>
        </is>
      </c>
      <c r="I1486" s="12" t="inlineStr">
        <is>
          <t>LV 600 V</t>
        </is>
      </c>
      <c r="J1486" s="12" t="inlineStr">
        <is>
          <t>10</t>
        </is>
      </c>
      <c r="K1486" s="12" t="n">
        <v>1</v>
      </c>
    </row>
    <row r="1487">
      <c r="A1487" s="12" t="inlineStr">
        <is>
          <t>RICE engine-generator 1</t>
        </is>
      </c>
      <c r="B1487" s="12" t="inlineStr">
        <is>
          <t>RICE-1</t>
        </is>
      </c>
      <c r="C1487" s="12" t="inlineStr">
        <is>
          <t>I</t>
        </is>
      </c>
      <c r="D1487" s="12" t="inlineStr">
        <is>
          <t>Motor 1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2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3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4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5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Motor 6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1</t>
        </is>
      </c>
      <c r="B1493" s="12" t="inlineStr">
        <is>
          <t>RICE-1</t>
        </is>
      </c>
      <c r="C1493" s="12" t="inlineStr">
        <is>
          <t>I</t>
        </is>
      </c>
      <c r="D1493" s="12" t="inlineStr">
        <is>
          <t>480 V welding receptacle 1</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2</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3</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1</t>
        </is>
      </c>
      <c r="B1496" s="12" t="inlineStr">
        <is>
          <t>RICE-1</t>
        </is>
      </c>
      <c r="C1496" s="12" t="inlineStr">
        <is>
          <t>I</t>
        </is>
      </c>
      <c r="D1496" s="12" t="inlineStr">
        <is>
          <t>480 V welding receptacle 4</t>
        </is>
      </c>
      <c r="E1496" s="12" t="n">
        <v>480</v>
      </c>
      <c r="F1496" s="12" t="n">
        <v>60</v>
      </c>
      <c r="G1496" s="12" t="n">
        <v>76</v>
      </c>
      <c r="H1496" s="12" t="inlineStr">
        <is>
          <t>PCM: power control module</t>
        </is>
      </c>
      <c r="I1496" s="12" t="inlineStr">
        <is>
          <t>LV 600 V</t>
        </is>
      </c>
      <c r="J1496" s="12" t="inlineStr">
        <is>
          <t>1/0</t>
        </is>
      </c>
      <c r="K1496" s="12" t="n">
        <v>1</v>
      </c>
    </row>
    <row r="1497">
      <c r="A1497" s="12" t="inlineStr">
        <is>
          <t>RICE engine-generator 2</t>
        </is>
      </c>
      <c r="B1497" s="12" t="inlineStr">
        <is>
          <t>RICE-2</t>
        </is>
      </c>
      <c r="C1497" s="12" t="inlineStr">
        <is>
          <t>I</t>
        </is>
      </c>
      <c r="D1497" s="12" t="inlineStr">
        <is>
          <t>Motor 1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2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3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4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5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Motor 6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2</t>
        </is>
      </c>
      <c r="B1503" s="12" t="inlineStr">
        <is>
          <t>RICE-2</t>
        </is>
      </c>
      <c r="C1503" s="12" t="inlineStr">
        <is>
          <t>I</t>
        </is>
      </c>
      <c r="D1503" s="12" t="inlineStr">
        <is>
          <t>480 V welding receptacle 1</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2</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3</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2</t>
        </is>
      </c>
      <c r="B1506" s="12" t="inlineStr">
        <is>
          <t>RICE-2</t>
        </is>
      </c>
      <c r="C1506" s="12" t="inlineStr">
        <is>
          <t>I</t>
        </is>
      </c>
      <c r="D1506" s="12" t="inlineStr">
        <is>
          <t>480 V welding receptacle 4</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3</t>
        </is>
      </c>
      <c r="B1507" s="12" t="inlineStr">
        <is>
          <t>RICE-3</t>
        </is>
      </c>
      <c r="C1507" s="12" t="inlineStr">
        <is>
          <t>I</t>
        </is>
      </c>
      <c r="D1507" s="12" t="inlineStr">
        <is>
          <t>Motor 1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2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3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4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5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Motor 6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3</t>
        </is>
      </c>
      <c r="B1513" s="12" t="inlineStr">
        <is>
          <t>RICE-3</t>
        </is>
      </c>
      <c r="C1513" s="12" t="inlineStr">
        <is>
          <t>I</t>
        </is>
      </c>
      <c r="D1513" s="12" t="inlineStr">
        <is>
          <t>480 V welding receptacle 1</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2</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3</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3</t>
        </is>
      </c>
      <c r="B1516" s="12" t="inlineStr">
        <is>
          <t>RICE-3</t>
        </is>
      </c>
      <c r="C1516" s="12" t="inlineStr">
        <is>
          <t>I</t>
        </is>
      </c>
      <c r="D1516" s="12" t="inlineStr">
        <is>
          <t>480 V welding receptacle 4</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4</t>
        </is>
      </c>
      <c r="B1517" s="12" t="inlineStr">
        <is>
          <t>RICE-4</t>
        </is>
      </c>
      <c r="C1517" s="12" t="inlineStr">
        <is>
          <t>I</t>
        </is>
      </c>
      <c r="D1517" s="12" t="inlineStr">
        <is>
          <t>Motor 1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2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3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4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5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Motor 6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4</t>
        </is>
      </c>
      <c r="B1523" s="12" t="inlineStr">
        <is>
          <t>RICE-4</t>
        </is>
      </c>
      <c r="C1523" s="12" t="inlineStr">
        <is>
          <t>I</t>
        </is>
      </c>
      <c r="D1523" s="12" t="inlineStr">
        <is>
          <t>480 V welding receptacle 1</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2</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3</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4</t>
        </is>
      </c>
      <c r="B1526" s="12" t="inlineStr">
        <is>
          <t>RICE-4</t>
        </is>
      </c>
      <c r="C1526" s="12" t="inlineStr">
        <is>
          <t>I</t>
        </is>
      </c>
      <c r="D1526" s="12" t="inlineStr">
        <is>
          <t>480 V welding receptacle 4</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5</t>
        </is>
      </c>
      <c r="B1527" s="12" t="inlineStr">
        <is>
          <t>RICE-5</t>
        </is>
      </c>
      <c r="C1527" s="12" t="inlineStr">
        <is>
          <t>I</t>
        </is>
      </c>
      <c r="D1527" s="12" t="inlineStr">
        <is>
          <t>Motor 1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2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3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4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5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Motor 6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5</t>
        </is>
      </c>
      <c r="B1533" s="12" t="inlineStr">
        <is>
          <t>RICE-5</t>
        </is>
      </c>
      <c r="C1533" s="12" t="inlineStr">
        <is>
          <t>I</t>
        </is>
      </c>
      <c r="D1533" s="12" t="inlineStr">
        <is>
          <t>480 V welding receptacle 1</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2</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3</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5</t>
        </is>
      </c>
      <c r="B1536" s="12" t="inlineStr">
        <is>
          <t>RICE-5</t>
        </is>
      </c>
      <c r="C1536" s="12" t="inlineStr">
        <is>
          <t>I</t>
        </is>
      </c>
      <c r="D1536" s="12" t="inlineStr">
        <is>
          <t>480 V welding receptacle 4</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6</t>
        </is>
      </c>
      <c r="B1537" s="12" t="inlineStr">
        <is>
          <t>RICE-6</t>
        </is>
      </c>
      <c r="C1537" s="12" t="inlineStr">
        <is>
          <t>I</t>
        </is>
      </c>
      <c r="D1537" s="12" t="inlineStr">
        <is>
          <t>Motor 1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2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3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4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5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Motor 6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6</t>
        </is>
      </c>
      <c r="B1543" s="12" t="inlineStr">
        <is>
          <t>RICE-6</t>
        </is>
      </c>
      <c r="C1543" s="12" t="inlineStr">
        <is>
          <t>I</t>
        </is>
      </c>
      <c r="D1543" s="12" t="inlineStr">
        <is>
          <t>480 V welding receptacle 1</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2</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3</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6</t>
        </is>
      </c>
      <c r="B1546" s="12" t="inlineStr">
        <is>
          <t>RICE-6</t>
        </is>
      </c>
      <c r="C1546" s="12" t="inlineStr">
        <is>
          <t>I</t>
        </is>
      </c>
      <c r="D1546" s="12" t="inlineStr">
        <is>
          <t>480 V welding receptacle 4</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7</t>
        </is>
      </c>
      <c r="B1547" s="12" t="inlineStr">
        <is>
          <t>RICE-7</t>
        </is>
      </c>
      <c r="C1547" s="12" t="inlineStr">
        <is>
          <t>I</t>
        </is>
      </c>
      <c r="D1547" s="12" t="inlineStr">
        <is>
          <t>Motor 1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2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3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4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5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Motor 6 of 6, 22 kW</t>
        </is>
      </c>
      <c r="E1552" s="12" t="n">
        <v>480</v>
      </c>
      <c r="F1552" s="12" t="n">
        <v>22</v>
      </c>
      <c r="G1552" s="12" t="n">
        <v>31.1</v>
      </c>
      <c r="H1552" s="12" t="inlineStr">
        <is>
          <t>PCM: power control module</t>
        </is>
      </c>
      <c r="I1552" s="12" t="inlineStr">
        <is>
          <t>LV 600 V</t>
        </is>
      </c>
      <c r="J1552" s="12" t="inlineStr">
        <is>
          <t>8</t>
        </is>
      </c>
      <c r="K1552" s="12" t="n">
        <v>1</v>
      </c>
    </row>
    <row r="1553">
      <c r="A1553" s="12" t="inlineStr">
        <is>
          <t>RICE engine-generator 7</t>
        </is>
      </c>
      <c r="B1553" s="12" t="inlineStr">
        <is>
          <t>RICE-7</t>
        </is>
      </c>
      <c r="C1553" s="12" t="inlineStr">
        <is>
          <t>I</t>
        </is>
      </c>
      <c r="D1553" s="12" t="inlineStr">
        <is>
          <t>480 V welding receptacle 1</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2</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3</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7</t>
        </is>
      </c>
      <c r="B1556" s="12" t="inlineStr">
        <is>
          <t>RICE-7</t>
        </is>
      </c>
      <c r="C1556" s="12" t="inlineStr">
        <is>
          <t>I</t>
        </is>
      </c>
      <c r="D1556" s="12" t="inlineStr">
        <is>
          <t>480 V welding receptacle 4</t>
        </is>
      </c>
      <c r="E1556" s="12" t="n">
        <v>480</v>
      </c>
      <c r="F1556" s="12" t="n">
        <v>60</v>
      </c>
      <c r="G1556" s="12" t="n">
        <v>76</v>
      </c>
      <c r="H1556" s="12" t="inlineStr">
        <is>
          <t>PCM: power control module</t>
        </is>
      </c>
      <c r="I1556" s="12" t="inlineStr">
        <is>
          <t>LV 600 V</t>
        </is>
      </c>
      <c r="J1556" s="12" t="inlineStr">
        <is>
          <t>2</t>
        </is>
      </c>
      <c r="K1556" s="12" t="n">
        <v>1</v>
      </c>
    </row>
    <row r="1557">
      <c r="A1557" s="12" t="inlineStr">
        <is>
          <t>RICE engine-generator 8</t>
        </is>
      </c>
      <c r="B1557" s="12" t="inlineStr">
        <is>
          <t>RICE-8</t>
        </is>
      </c>
      <c r="C1557" s="12" t="inlineStr">
        <is>
          <t>I</t>
        </is>
      </c>
      <c r="D1557" s="12" t="inlineStr">
        <is>
          <t>Motor 1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2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3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4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5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Motor 6 of 6, 22 kW</t>
        </is>
      </c>
      <c r="E1562" s="12" t="n">
        <v>480</v>
      </c>
      <c r="F1562" s="12" t="n">
        <v>22</v>
      </c>
      <c r="G1562" s="12" t="n">
        <v>31.1</v>
      </c>
      <c r="H1562" s="12" t="inlineStr">
        <is>
          <t>PCM: power control module</t>
        </is>
      </c>
      <c r="I1562" s="12" t="inlineStr">
        <is>
          <t>LV 600 V</t>
        </is>
      </c>
      <c r="J1562" s="12" t="inlineStr">
        <is>
          <t>8</t>
        </is>
      </c>
      <c r="K1562" s="12" t="n">
        <v>1</v>
      </c>
    </row>
    <row r="1563">
      <c r="A1563" s="12" t="inlineStr">
        <is>
          <t>RICE engine-generator 8</t>
        </is>
      </c>
      <c r="B1563" s="12" t="inlineStr">
        <is>
          <t>RICE-8</t>
        </is>
      </c>
      <c r="C1563" s="12" t="inlineStr">
        <is>
          <t>I</t>
        </is>
      </c>
      <c r="D1563" s="12" t="inlineStr">
        <is>
          <t>480 V welding receptacle 1</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2</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3</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RICE engine-generator 8</t>
        </is>
      </c>
      <c r="B1566" s="12" t="inlineStr">
        <is>
          <t>RICE-8</t>
        </is>
      </c>
      <c r="C1566" s="12" t="inlineStr">
        <is>
          <t>I</t>
        </is>
      </c>
      <c r="D1566" s="12" t="inlineStr">
        <is>
          <t>480 V welding receptacle 4</t>
        </is>
      </c>
      <c r="E1566" s="12" t="n">
        <v>480</v>
      </c>
      <c r="F1566" s="12" t="n">
        <v>60</v>
      </c>
      <c r="G1566" s="12" t="n">
        <v>76</v>
      </c>
      <c r="H1566" s="12" t="inlineStr">
        <is>
          <t>PCM: power control module</t>
        </is>
      </c>
      <c r="I1566" s="12" t="inlineStr">
        <is>
          <t>LV 600 V</t>
        </is>
      </c>
      <c r="J1566" s="12" t="inlineStr">
        <is>
          <t>2</t>
        </is>
      </c>
      <c r="K1566" s="12" t="n">
        <v>1</v>
      </c>
    </row>
    <row r="1567">
      <c r="A1567" s="12" t="inlineStr">
        <is>
          <t>Reagent storage</t>
        </is>
      </c>
      <c r="B1567" s="12" t="inlineStr"/>
      <c r="C1567" s="12" t="inlineStr">
        <is>
          <t>I</t>
        </is>
      </c>
      <c r="D1567" s="12" t="inlineStr">
        <is>
          <t>LV power feeder</t>
        </is>
      </c>
      <c r="E1567" s="12" t="n">
        <v>480</v>
      </c>
      <c r="F1567" s="12" t="n">
        <v>15</v>
      </c>
      <c r="G1567" s="12" t="n">
        <v>21.2</v>
      </c>
      <c r="H1567" s="12" t="inlineStr">
        <is>
          <t>PCM: power control module</t>
        </is>
      </c>
      <c r="I1567" s="12" t="inlineStr">
        <is>
          <t>LV 600 V</t>
        </is>
      </c>
      <c r="J1567" s="12" t="inlineStr">
        <is>
          <t>8</t>
        </is>
      </c>
      <c r="K1567" s="12" t="n">
        <v>1</v>
      </c>
    </row>
    <row r="1568">
      <c r="A1568" s="12" t="inlineStr">
        <is>
          <t>SC-1 CEMS shelter</t>
        </is>
      </c>
      <c r="B1568" s="12" t="inlineStr"/>
      <c r="C1568" s="12" t="inlineStr">
        <is>
          <t>I</t>
        </is>
      </c>
      <c r="D1568" s="12" t="inlineStr">
        <is>
          <t>SC-1 CEMS shelter panel: analysers, heated sample line, lighting</t>
        </is>
      </c>
      <c r="E1568" s="12" t="n">
        <v>480</v>
      </c>
      <c r="F1568" s="12" t="n">
        <v>15</v>
      </c>
      <c r="G1568" s="12" t="n">
        <v>19</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1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CEMS shelter</t>
        </is>
      </c>
      <c r="B1570" s="12" t="inlineStr"/>
      <c r="C1570" s="12" t="inlineStr">
        <is>
          <t>I</t>
        </is>
      </c>
      <c r="D1570" s="12" t="inlineStr">
        <is>
          <t>Motor 2 of 2, 5 kW</t>
        </is>
      </c>
      <c r="E1570" s="12" t="n">
        <v>480</v>
      </c>
      <c r="F1570" s="12" t="n">
        <v>5</v>
      </c>
      <c r="G1570" s="12" t="n">
        <v>7.1</v>
      </c>
      <c r="H1570" s="12" t="inlineStr">
        <is>
          <t>SC-1 PCM + 15 kV GCB</t>
        </is>
      </c>
      <c r="I1570" s="12" t="inlineStr">
        <is>
          <t>LV 600 V</t>
        </is>
      </c>
      <c r="J1570" s="12" t="inlineStr">
        <is>
          <t>10</t>
        </is>
      </c>
      <c r="K1570" s="12" t="n">
        <v>1</v>
      </c>
    </row>
    <row r="1571">
      <c r="A1571" s="12" t="inlineStr">
        <is>
          <t>SC-1 PCM + 15 kV GCB</t>
        </is>
      </c>
      <c r="B1571" s="12" t="inlineStr"/>
      <c r="C1571" s="12" t="inlineStr">
        <is>
          <t>I</t>
        </is>
      </c>
      <c r="D1571" s="12" t="inlineStr">
        <is>
          <t>SC-1 PCM lighting, receptacles and HVAC (from its own 480 V board)</t>
        </is>
      </c>
      <c r="E1571" s="12" t="n">
        <v>480</v>
      </c>
      <c r="F1571" s="12" t="n">
        <v>40</v>
      </c>
      <c r="G1571" s="12" t="n"/>
      <c r="H1571" s="12" t="inlineStr">
        <is>
          <t>SC-1 PCM + 15 kV GCB</t>
        </is>
      </c>
      <c r="I1571" s="12" t="inlineStr">
        <is>
          <t>LV 600 V</t>
        </is>
      </c>
      <c r="J1571" s="12" t="inlineStr">
        <is>
          <t>2</t>
        </is>
      </c>
      <c r="K1571" s="12" t="n">
        <v>1</v>
      </c>
    </row>
    <row r="1572">
      <c r="A1572" s="12" t="inlineStr">
        <is>
          <t>SC-1 SCR / CO catalyst</t>
        </is>
      </c>
      <c r="B1572" s="12" t="inlineStr"/>
      <c r="C1572" s="12" t="inlineStr">
        <is>
          <t>I</t>
        </is>
      </c>
      <c r="D1572" s="12" t="inlineStr">
        <is>
          <t>Area / platform lighting circuit 1 (10 fixtures)</t>
        </is>
      </c>
      <c r="E1572" s="12" t="n">
        <v>480</v>
      </c>
      <c r="F1572" s="12" t="n">
        <v>3</v>
      </c>
      <c r="G1572" s="12" t="n">
        <v>5</v>
      </c>
      <c r="H1572" s="12" t="inlineStr">
        <is>
          <t>SC-1 PCM + 15 kV GCB</t>
        </is>
      </c>
      <c r="I1572" s="12" t="inlineStr">
        <is>
          <t>LV 600 V</t>
        </is>
      </c>
      <c r="J1572" s="12" t="inlineStr">
        <is>
          <t>10</t>
        </is>
      </c>
      <c r="K1572" s="12" t="n">
        <v>1</v>
      </c>
    </row>
    <row r="1573">
      <c r="A1573" s="12" t="inlineStr">
        <is>
          <t>SC-1 ammonia flow-control unit</t>
        </is>
      </c>
      <c r="B1573" s="12" t="inlineStr"/>
      <c r="C1573" s="12" t="inlineStr">
        <is>
          <t>I</t>
        </is>
      </c>
      <c r="D1573" s="12" t="inlineStr">
        <is>
          <t>SC-1 ammonia vaporiser electric heater</t>
        </is>
      </c>
      <c r="E1573" s="12" t="n">
        <v>480</v>
      </c>
      <c r="F1573" s="12" t="n">
        <v>45</v>
      </c>
      <c r="G1573" s="12" t="n">
        <v>57</v>
      </c>
      <c r="H1573" s="12" t="inlineStr">
        <is>
          <t>SC-1 PCM + 15 kV GCB</t>
        </is>
      </c>
      <c r="I1573" s="12" t="inlineStr">
        <is>
          <t>LV 600 V</t>
        </is>
      </c>
      <c r="J1573" s="12" t="inlineStr">
        <is>
          <t>4</t>
        </is>
      </c>
      <c r="K1573" s="12" t="n">
        <v>1</v>
      </c>
    </row>
    <row r="1574">
      <c r="A1574" s="12" t="inlineStr">
        <is>
          <t>SC-1 ammonia flow-control unit</t>
        </is>
      </c>
      <c r="B1574" s="12" t="inlineStr"/>
      <c r="C1574" s="12" t="inlineStr">
        <is>
          <t>I</t>
        </is>
      </c>
      <c r="D1574" s="12" t="inlineStr">
        <is>
          <t>Motor 1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ammonia flow-control unit</t>
        </is>
      </c>
      <c r="B1575" s="12" t="inlineStr"/>
      <c r="C1575" s="12" t="inlineStr">
        <is>
          <t>I</t>
        </is>
      </c>
      <c r="D1575" s="12" t="inlineStr">
        <is>
          <t>Motor 2 of 2, 7.5 kW</t>
        </is>
      </c>
      <c r="E1575" s="12" t="n">
        <v>480</v>
      </c>
      <c r="F1575" s="12" t="n">
        <v>7.5</v>
      </c>
      <c r="G1575" s="12" t="n">
        <v>10.6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SC-1 water-wash tank heater</t>
        </is>
      </c>
      <c r="E1576" s="12" t="n">
        <v>480</v>
      </c>
      <c r="F1576" s="12" t="n">
        <v>6</v>
      </c>
      <c r="G1576" s="12" t="n">
        <v>7.6</v>
      </c>
      <c r="H1576" s="12" t="inlineStr">
        <is>
          <t>SC-1 PCM + 15 kV GCB</t>
        </is>
      </c>
      <c r="I1576" s="12" t="inlineStr">
        <is>
          <t>LV 600 V</t>
        </is>
      </c>
      <c r="J1576" s="12" t="inlineStr">
        <is>
          <t>10</t>
        </is>
      </c>
      <c r="K1576" s="12" t="n">
        <v>1</v>
      </c>
    </row>
    <row r="1577">
      <c r="A1577" s="12" t="inlineStr">
        <is>
          <t>SC-1 auxiliary skids: fuel-gas module, water-wash skid</t>
        </is>
      </c>
      <c r="B1577" s="12" t="inlineStr"/>
      <c r="C1577" s="12" t="inlineStr">
        <is>
          <t>I</t>
        </is>
      </c>
      <c r="D1577" s="12" t="inlineStr">
        <is>
          <t>Motor 1 of 1, 7.5 kW</t>
        </is>
      </c>
      <c r="E1577" s="12" t="n">
        <v>480</v>
      </c>
      <c r="F1577" s="12" t="n">
        <v>7.5</v>
      </c>
      <c r="G1577" s="12" t="n">
        <v>10.6</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1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2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3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lube-oil fin-fan cooler</t>
        </is>
      </c>
      <c r="B1581" s="12" t="inlineStr"/>
      <c r="C1581" s="12" t="inlineStr">
        <is>
          <t>I</t>
        </is>
      </c>
      <c r="D1581" s="12" t="inlineStr">
        <is>
          <t>Motor 4 of 4, 15 kW</t>
        </is>
      </c>
      <c r="E1581" s="12" t="n">
        <v>480</v>
      </c>
      <c r="F1581" s="12" t="n">
        <v>15</v>
      </c>
      <c r="G1581" s="12" t="n">
        <v>21.2</v>
      </c>
      <c r="H1581" s="12" t="inlineStr">
        <is>
          <t>SC-1 PCM + 15 kV GCB</t>
        </is>
      </c>
      <c r="I1581" s="12" t="inlineStr">
        <is>
          <t>LV 600 V</t>
        </is>
      </c>
      <c r="J1581" s="12" t="inlineStr">
        <is>
          <t>10</t>
        </is>
      </c>
      <c r="K1581" s="12" t="n">
        <v>1</v>
      </c>
    </row>
    <row r="1582">
      <c r="A1582" s="12" t="inlineStr">
        <is>
          <t>SC-1 stack (80 ft)</t>
        </is>
      </c>
      <c r="B1582" s="12" t="inlineStr"/>
      <c r="C1582" s="12" t="inlineStr">
        <is>
          <t>I</t>
        </is>
      </c>
      <c r="D1582" s="12" t="inlineStr">
        <is>
          <t>Area / platform lighting circuit 1 (4 fixtures)</t>
        </is>
      </c>
      <c r="E1582" s="12" t="n">
        <v>480</v>
      </c>
      <c r="F1582" s="12" t="n">
        <v>3</v>
      </c>
      <c r="G1582" s="12" t="n">
        <v>5</v>
      </c>
      <c r="H1582" s="12" t="inlineStr">
        <is>
          <t>SC-1 PCM + 15 kV GCB</t>
        </is>
      </c>
      <c r="I1582" s="12" t="inlineStr">
        <is>
          <t>LV 600 V</t>
        </is>
      </c>
      <c r="J1582" s="12" t="inlineStr">
        <is>
          <t>10</t>
        </is>
      </c>
      <c r="K1582" s="12" t="n">
        <v>1</v>
      </c>
    </row>
    <row r="1583">
      <c r="A1583" s="12" t="inlineStr">
        <is>
          <t>SC-1 tempering-air fans (2 x 100 %)</t>
        </is>
      </c>
      <c r="B1583" s="12" t="inlineStr"/>
      <c r="C1583" s="12" t="inlineStr">
        <is>
          <t>I</t>
        </is>
      </c>
      <c r="D1583" s="12" t="inlineStr">
        <is>
          <t>Motor 1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Motor 2 of 2, 185 kW</t>
        </is>
      </c>
      <c r="E1584" s="12" t="n">
        <v>480</v>
      </c>
      <c r="F1584" s="12" t="n">
        <v>185</v>
      </c>
      <c r="G1584" s="12" t="n">
        <v>261.8</v>
      </c>
      <c r="H1584" s="12" t="inlineStr">
        <is>
          <t>SC-1 PCM + 15 kV GCB</t>
        </is>
      </c>
      <c r="I1584" s="12" t="inlineStr">
        <is>
          <t>LV 600 V</t>
        </is>
      </c>
      <c r="J1584" s="12" t="inlineStr">
        <is>
          <t>500 kcmil</t>
        </is>
      </c>
      <c r="K1584" s="12" t="n">
        <v>1</v>
      </c>
    </row>
    <row r="1585">
      <c r="A1585" s="12" t="inlineStr">
        <is>
          <t>SC-1 tempering-air fans (2 x 100 %)</t>
        </is>
      </c>
      <c r="B1585" s="12" t="inlineStr"/>
      <c r="C1585" s="12" t="inlineStr">
        <is>
          <t>I</t>
        </is>
      </c>
      <c r="D1585" s="12" t="inlineStr">
        <is>
          <t>Area / platform lighting circuit 1 (4 fixtures)</t>
        </is>
      </c>
      <c r="E1585" s="12" t="n">
        <v>480</v>
      </c>
      <c r="F1585" s="12" t="n">
        <v>3</v>
      </c>
      <c r="G1585" s="12" t="n">
        <v>5</v>
      </c>
      <c r="H1585" s="12" t="inlineStr">
        <is>
          <t>SC-1 PCM + 15 kV GCB</t>
        </is>
      </c>
      <c r="I1585" s="12" t="inlineStr">
        <is>
          <t>LV 600 V</t>
        </is>
      </c>
      <c r="J1585" s="12" t="inlineStr">
        <is>
          <t>10</t>
        </is>
      </c>
      <c r="K1585" s="12" t="n">
        <v>1</v>
      </c>
    </row>
    <row r="1586">
      <c r="A1586" s="12" t="inlineStr">
        <is>
          <t>SC-1: aeroderivative simple-cycle unit (50 MW class)</t>
        </is>
      </c>
      <c r="B1586" s="12" t="inlineStr">
        <is>
          <t>SC-1</t>
        </is>
      </c>
      <c r="C1586" s="12" t="inlineStr">
        <is>
          <t>I</t>
        </is>
      </c>
      <c r="D1586" s="12" t="inlineStr">
        <is>
          <t>SC-1 emergency DC lube-oil pump (125 V DC, coast-down)</t>
        </is>
      </c>
      <c r="E1586" s="12" t="n">
        <v>125</v>
      </c>
      <c r="F1586" s="12" t="n">
        <v>7.5</v>
      </c>
      <c r="G1586" s="12" t="n">
        <v>65</v>
      </c>
      <c r="H1586" s="12" t="inlineStr">
        <is>
          <t>SC-1 PCM + 15 kV GCB</t>
        </is>
      </c>
      <c r="I1586" s="12" t="inlineStr">
        <is>
          <t>LV 600 V</t>
        </is>
      </c>
      <c r="J1586" s="12" t="inlineStr">
        <is>
          <t>2</t>
        </is>
      </c>
      <c r="K1586" s="12" t="n">
        <v>1</v>
      </c>
    </row>
    <row r="1587">
      <c r="A1587" s="12" t="inlineStr">
        <is>
          <t>SC-1: aeroderivative simple-cycle unit (50 MW class)</t>
        </is>
      </c>
      <c r="B1587" s="12" t="inlineStr">
        <is>
          <t>SC-1</t>
        </is>
      </c>
      <c r="C1587" s="12" t="inlineStr">
        <is>
          <t>I</t>
        </is>
      </c>
      <c r="D1587" s="12" t="inlineStr">
        <is>
          <t>SC-1 120 V AC UPS to the unit control and protection</t>
        </is>
      </c>
      <c r="E1587" s="12" t="n">
        <v>120</v>
      </c>
      <c r="F1587" s="12" t="n">
        <v>5</v>
      </c>
      <c r="G1587" s="12" t="n"/>
      <c r="H1587" s="12" t="inlineStr">
        <is>
          <t>SC-1 PCM + 15 kV GCB</t>
        </is>
      </c>
      <c r="I1587" s="12" t="inlineStr">
        <is>
          <t>LV 600 V</t>
        </is>
      </c>
      <c r="J1587" s="12" t="inlineStr">
        <is>
          <t>6</t>
        </is>
      </c>
      <c r="K1587" s="12" t="n">
        <v>1</v>
      </c>
    </row>
    <row r="1588">
      <c r="A1588" s="12" t="inlineStr">
        <is>
          <t>SC-1: aeroderivative simple-cycle unit (50 MW class)</t>
        </is>
      </c>
      <c r="B1588" s="12" t="inlineStr">
        <is>
          <t>SC-1</t>
        </is>
      </c>
      <c r="C1588" s="12" t="inlineStr">
        <is>
          <t>I</t>
        </is>
      </c>
      <c r="D1588" s="12" t="inlineStr">
        <is>
          <t>SC-1 hydraulic starter pump motor (start sequence only)</t>
        </is>
      </c>
      <c r="E1588" s="12" t="n">
        <v>480</v>
      </c>
      <c r="F1588" s="12" t="n">
        <v>225</v>
      </c>
      <c r="G1588" s="12" t="n">
        <v>318.4</v>
      </c>
      <c r="H1588" s="12" t="inlineStr">
        <is>
          <t>SC-1 PCM + 15 kV GCB</t>
        </is>
      </c>
      <c r="I1588" s="12" t="inlineStr">
        <is>
          <t>LV 600 V</t>
        </is>
      </c>
      <c r="J1588" s="12" t="inlineStr">
        <is>
          <t>3/0</t>
        </is>
      </c>
      <c r="K1588" s="12" t="n">
        <v>2</v>
      </c>
    </row>
    <row r="1589">
      <c r="A1589" s="12" t="inlineStr">
        <is>
          <t>SC-1: aeroderivative simple-cycle unit (50 MW class)</t>
        </is>
      </c>
      <c r="B1589" s="12" t="inlineStr">
        <is>
          <t>SC-1</t>
        </is>
      </c>
      <c r="C1589" s="12" t="inlineStr">
        <is>
          <t>I</t>
        </is>
      </c>
      <c r="D1589" s="12" t="inlineStr">
        <is>
          <t>SC-1 480 V welding receptacle 1</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(50 MW class)</t>
        </is>
      </c>
      <c r="B1590" s="12" t="inlineStr">
        <is>
          <t>SC-1</t>
        </is>
      </c>
      <c r="C1590" s="12" t="inlineStr">
        <is>
          <t>I</t>
        </is>
      </c>
      <c r="D1590" s="12" t="inlineStr">
        <is>
          <t>SC-1 480 V welding receptacle 2</t>
        </is>
      </c>
      <c r="E1590" s="12" t="n">
        <v>480</v>
      </c>
      <c r="F1590" s="12" t="n">
        <v>60</v>
      </c>
      <c r="G1590" s="12" t="n">
        <v>76</v>
      </c>
      <c r="H1590" s="12" t="inlineStr">
        <is>
          <t>SC-1 PCM + 15 kV GCB</t>
        </is>
      </c>
      <c r="I1590" s="12" t="inlineStr">
        <is>
          <t>LV 600 V</t>
        </is>
      </c>
      <c r="J1590" s="12" t="inlineStr">
        <is>
          <t>2</t>
        </is>
      </c>
      <c r="K1590" s="12" t="n">
        <v>1</v>
      </c>
    </row>
    <row r="1591">
      <c r="A1591" s="12" t="inlineStr">
        <is>
          <t>SC-1: aeroderivative simple-cycle unit (50 MW class)</t>
        </is>
      </c>
      <c r="B1591" s="12" t="inlineStr">
        <is>
          <t>SC-1</t>
        </is>
      </c>
      <c r="C1591" s="12" t="inlineStr">
        <is>
          <t>I</t>
        </is>
      </c>
      <c r="D1591" s="12" t="inlineStr">
        <is>
          <t>Motor 1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(50 MW class)</t>
        </is>
      </c>
      <c r="B1592" s="12" t="inlineStr">
        <is>
          <t>SC-1</t>
        </is>
      </c>
      <c r="C1592" s="12" t="inlineStr">
        <is>
          <t>I</t>
        </is>
      </c>
      <c r="D1592" s="12" t="inlineStr">
        <is>
          <t>Motor 2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(50 MW class)</t>
        </is>
      </c>
      <c r="B1593" s="12" t="inlineStr">
        <is>
          <t>SC-1</t>
        </is>
      </c>
      <c r="C1593" s="12" t="inlineStr">
        <is>
          <t>I</t>
        </is>
      </c>
      <c r="D1593" s="12" t="inlineStr">
        <is>
          <t>Motor 3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(50 MW class)</t>
        </is>
      </c>
      <c r="B1594" s="12" t="inlineStr">
        <is>
          <t>SC-1</t>
        </is>
      </c>
      <c r="C1594" s="12" t="inlineStr">
        <is>
          <t>I</t>
        </is>
      </c>
      <c r="D1594" s="12" t="inlineStr">
        <is>
          <t>Motor 4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(50 MW class)</t>
        </is>
      </c>
      <c r="B1595" s="12" t="inlineStr">
        <is>
          <t>SC-1</t>
        </is>
      </c>
      <c r="C1595" s="12" t="inlineStr">
        <is>
          <t>I</t>
        </is>
      </c>
      <c r="D1595" s="12" t="inlineStr">
        <is>
          <t>Motor 5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(50 MW class)</t>
        </is>
      </c>
      <c r="B1596" s="12" t="inlineStr">
        <is>
          <t>SC-1</t>
        </is>
      </c>
      <c r="C1596" s="12" t="inlineStr">
        <is>
          <t>I</t>
        </is>
      </c>
      <c r="D1596" s="12" t="inlineStr">
        <is>
          <t>Motor 6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(50 MW class)</t>
        </is>
      </c>
      <c r="B1597" s="12" t="inlineStr">
        <is>
          <t>SC-1</t>
        </is>
      </c>
      <c r="C1597" s="12" t="inlineStr">
        <is>
          <t>I</t>
        </is>
      </c>
      <c r="D1597" s="12" t="inlineStr">
        <is>
          <t>Motor 7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(50 MW class)</t>
        </is>
      </c>
      <c r="B1598" s="12" t="inlineStr">
        <is>
          <t>SC-1</t>
        </is>
      </c>
      <c r="C1598" s="12" t="inlineStr">
        <is>
          <t>I</t>
        </is>
      </c>
      <c r="D1598" s="12" t="inlineStr">
        <is>
          <t>Motor 8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(50 MW class)</t>
        </is>
      </c>
      <c r="B1599" s="12" t="inlineStr">
        <is>
          <t>SC-1</t>
        </is>
      </c>
      <c r="C1599" s="12" t="inlineStr">
        <is>
          <t>I</t>
        </is>
      </c>
      <c r="D1599" s="12" t="inlineStr">
        <is>
          <t>Motor 9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(50 MW class)</t>
        </is>
      </c>
      <c r="B1600" s="12" t="inlineStr">
        <is>
          <t>SC-1</t>
        </is>
      </c>
      <c r="C1600" s="12" t="inlineStr">
        <is>
          <t>I</t>
        </is>
      </c>
      <c r="D1600" s="12" t="inlineStr">
        <is>
          <t>Motor 10 of 10, 30 kW</t>
        </is>
      </c>
      <c r="E1600" s="12" t="n">
        <v>480</v>
      </c>
      <c r="F1600" s="12" t="n">
        <v>30</v>
      </c>
      <c r="G1600" s="12" t="n">
        <v>42.5</v>
      </c>
      <c r="H1600" s="12" t="inlineStr">
        <is>
          <t>SC-1 PCM + 15 kV GCB</t>
        </is>
      </c>
      <c r="I1600" s="12" t="inlineStr">
        <is>
          <t>LV 600 V</t>
        </is>
      </c>
      <c r="J1600" s="12" t="inlineStr">
        <is>
          <t>6</t>
        </is>
      </c>
      <c r="K1600" s="12" t="n">
        <v>1</v>
      </c>
    </row>
    <row r="1601">
      <c r="A1601" s="12" t="inlineStr">
        <is>
          <t>SC-1: aeroderivative simple-cycle unit (50 MW class)</t>
        </is>
      </c>
      <c r="B1601" s="12" t="inlineStr">
        <is>
          <t>SC-1</t>
        </is>
      </c>
      <c r="C1601" s="12" t="inlineStr">
        <is>
          <t>I</t>
        </is>
      </c>
      <c r="D1601" s="12" t="inlineStr">
        <is>
          <t>Area / platform lighting circuit 1 (8 fixtures)</t>
        </is>
      </c>
      <c r="E1601" s="12" t="n">
        <v>480</v>
      </c>
      <c r="F1601" s="12" t="n">
        <v>3</v>
      </c>
      <c r="G1601" s="12" t="n">
        <v>5</v>
      </c>
      <c r="H1601" s="12" t="inlineStr">
        <is>
          <t>SC-1 PCM + 15 kV GCB</t>
        </is>
      </c>
      <c r="I1601" s="12" t="inlineStr">
        <is>
          <t>LV 600 V</t>
        </is>
      </c>
      <c r="J1601" s="12" t="inlineStr">
        <is>
          <t>10</t>
        </is>
      </c>
      <c r="K1601" s="12" t="n">
        <v>1</v>
      </c>
    </row>
    <row r="1602">
      <c r="A1602" s="12" t="inlineStr">
        <is>
          <t>SC-2 CEMS shelter</t>
        </is>
      </c>
      <c r="B1602" s="12" t="inlineStr"/>
      <c r="C1602" s="12" t="inlineStr">
        <is>
          <t>I</t>
        </is>
      </c>
      <c r="D1602" s="12" t="inlineStr">
        <is>
          <t>SC-2 CEMS shelter panel: analysers, heated sample line, lighting</t>
        </is>
      </c>
      <c r="E1602" s="12" t="n">
        <v>480</v>
      </c>
      <c r="F1602" s="12" t="n">
        <v>15</v>
      </c>
      <c r="G1602" s="12" t="n">
        <v>19</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1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CEMS shelter</t>
        </is>
      </c>
      <c r="B1604" s="12" t="inlineStr"/>
      <c r="C1604" s="12" t="inlineStr">
        <is>
          <t>I</t>
        </is>
      </c>
      <c r="D1604" s="12" t="inlineStr">
        <is>
          <t>Motor 2 of 2, 5 kW</t>
        </is>
      </c>
      <c r="E1604" s="12" t="n">
        <v>480</v>
      </c>
      <c r="F1604" s="12" t="n">
        <v>5</v>
      </c>
      <c r="G1604" s="12" t="n">
        <v>7.1</v>
      </c>
      <c r="H1604" s="12" t="inlineStr">
        <is>
          <t>SC-2 PCM + 15 kV GCB</t>
        </is>
      </c>
      <c r="I1604" s="12" t="inlineStr">
        <is>
          <t>LV 600 V</t>
        </is>
      </c>
      <c r="J1604" s="12" t="inlineStr">
        <is>
          <t>10</t>
        </is>
      </c>
      <c r="K1604" s="12" t="n">
        <v>1</v>
      </c>
    </row>
    <row r="1605">
      <c r="A1605" s="12" t="inlineStr">
        <is>
          <t>SC-2 PCM + 15 kV GCB</t>
        </is>
      </c>
      <c r="B1605" s="12" t="inlineStr"/>
      <c r="C1605" s="12" t="inlineStr">
        <is>
          <t>I</t>
        </is>
      </c>
      <c r="D1605" s="12" t="inlineStr">
        <is>
          <t>SC-2 PCM lighting, receptacles and HVAC (from its own 480 V board)</t>
        </is>
      </c>
      <c r="E1605" s="12" t="n">
        <v>480</v>
      </c>
      <c r="F1605" s="12" t="n">
        <v>40</v>
      </c>
      <c r="G1605" s="12" t="n"/>
      <c r="H1605" s="12" t="inlineStr">
        <is>
          <t>SC-2 PCM + 15 kV GCB</t>
        </is>
      </c>
      <c r="I1605" s="12" t="inlineStr">
        <is>
          <t>LV 600 V</t>
        </is>
      </c>
      <c r="J1605" s="12" t="inlineStr">
        <is>
          <t>2</t>
        </is>
      </c>
      <c r="K1605" s="12" t="n">
        <v>1</v>
      </c>
    </row>
    <row r="1606">
      <c r="A1606" s="12" t="inlineStr">
        <is>
          <t>SC-2 SCR / CO catalyst</t>
        </is>
      </c>
      <c r="B1606" s="12" t="inlineStr"/>
      <c r="C1606" s="12" t="inlineStr">
        <is>
          <t>I</t>
        </is>
      </c>
      <c r="D1606" s="12" t="inlineStr">
        <is>
          <t>Area / platform lighting circuit 1 (10 fixtures)</t>
        </is>
      </c>
      <c r="E1606" s="12" t="n">
        <v>480</v>
      </c>
      <c r="F1606" s="12" t="n">
        <v>3</v>
      </c>
      <c r="G1606" s="12" t="n">
        <v>5</v>
      </c>
      <c r="H1606" s="12" t="inlineStr">
        <is>
          <t>SC-2 PCM + 15 kV GCB</t>
        </is>
      </c>
      <c r="I1606" s="12" t="inlineStr">
        <is>
          <t>LV 600 V</t>
        </is>
      </c>
      <c r="J1606" s="12" t="inlineStr">
        <is>
          <t>10</t>
        </is>
      </c>
      <c r="K1606" s="12" t="n">
        <v>1</v>
      </c>
    </row>
    <row r="1607">
      <c r="A1607" s="12" t="inlineStr">
        <is>
          <t>SC-2 ammonia flow-control unit</t>
        </is>
      </c>
      <c r="B1607" s="12" t="inlineStr"/>
      <c r="C1607" s="12" t="inlineStr">
        <is>
          <t>I</t>
        </is>
      </c>
      <c r="D1607" s="12" t="inlineStr">
        <is>
          <t>SC-2 ammonia vaporiser electric heater</t>
        </is>
      </c>
      <c r="E1607" s="12" t="n">
        <v>480</v>
      </c>
      <c r="F1607" s="12" t="n">
        <v>45</v>
      </c>
      <c r="G1607" s="12" t="n">
        <v>57</v>
      </c>
      <c r="H1607" s="12" t="inlineStr">
        <is>
          <t>SC-2 PCM + 15 kV GCB</t>
        </is>
      </c>
      <c r="I1607" s="12" t="inlineStr">
        <is>
          <t>LV 600 V</t>
        </is>
      </c>
      <c r="J1607" s="12" t="inlineStr">
        <is>
          <t>4</t>
        </is>
      </c>
      <c r="K1607" s="12" t="n">
        <v>1</v>
      </c>
    </row>
    <row r="1608">
      <c r="A1608" s="12" t="inlineStr">
        <is>
          <t>SC-2 ammonia flow-control unit</t>
        </is>
      </c>
      <c r="B1608" s="12" t="inlineStr"/>
      <c r="C1608" s="12" t="inlineStr">
        <is>
          <t>I</t>
        </is>
      </c>
      <c r="D1608" s="12" t="inlineStr">
        <is>
          <t>Motor 1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ammonia flow-control unit</t>
        </is>
      </c>
      <c r="B1609" s="12" t="inlineStr"/>
      <c r="C1609" s="12" t="inlineStr">
        <is>
          <t>I</t>
        </is>
      </c>
      <c r="D1609" s="12" t="inlineStr">
        <is>
          <t>Motor 2 of 2, 7.5 kW</t>
        </is>
      </c>
      <c r="E1609" s="12" t="n">
        <v>480</v>
      </c>
      <c r="F1609" s="12" t="n">
        <v>7.5</v>
      </c>
      <c r="G1609" s="12" t="n">
        <v>10.6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SC-2 water-wash tank heater</t>
        </is>
      </c>
      <c r="E1610" s="12" t="n">
        <v>480</v>
      </c>
      <c r="F1610" s="12" t="n">
        <v>6</v>
      </c>
      <c r="G1610" s="12" t="n">
        <v>7.6</v>
      </c>
      <c r="H1610" s="12" t="inlineStr">
        <is>
          <t>SC-2 PCM + 15 kV GCB</t>
        </is>
      </c>
      <c r="I1610" s="12" t="inlineStr">
        <is>
          <t>LV 600 V</t>
        </is>
      </c>
      <c r="J1610" s="12" t="inlineStr">
        <is>
          <t>10</t>
        </is>
      </c>
      <c r="K1610" s="12" t="n">
        <v>1</v>
      </c>
    </row>
    <row r="1611">
      <c r="A1611" s="12" t="inlineStr">
        <is>
          <t>SC-2 auxiliary skids: fuel-gas module, water-wash skid</t>
        </is>
      </c>
      <c r="B1611" s="12" t="inlineStr"/>
      <c r="C1611" s="12" t="inlineStr">
        <is>
          <t>I</t>
        </is>
      </c>
      <c r="D1611" s="12" t="inlineStr">
        <is>
          <t>Motor 1 of 1, 7.5 kW</t>
        </is>
      </c>
      <c r="E1611" s="12" t="n">
        <v>480</v>
      </c>
      <c r="F1611" s="12" t="n">
        <v>7.5</v>
      </c>
      <c r="G1611" s="12" t="n">
        <v>10.6</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1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2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3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lube-oil fin-fan cooler</t>
        </is>
      </c>
      <c r="B1615" s="12" t="inlineStr"/>
      <c r="C1615" s="12" t="inlineStr">
        <is>
          <t>I</t>
        </is>
      </c>
      <c r="D1615" s="12" t="inlineStr">
        <is>
          <t>Motor 4 of 4, 15 kW</t>
        </is>
      </c>
      <c r="E1615" s="12" t="n">
        <v>480</v>
      </c>
      <c r="F1615" s="12" t="n">
        <v>15</v>
      </c>
      <c r="G1615" s="12" t="n">
        <v>21.2</v>
      </c>
      <c r="H1615" s="12" t="inlineStr">
        <is>
          <t>SC-2 PCM + 15 kV GCB</t>
        </is>
      </c>
      <c r="I1615" s="12" t="inlineStr">
        <is>
          <t>LV 600 V</t>
        </is>
      </c>
      <c r="J1615" s="12" t="inlineStr">
        <is>
          <t>10</t>
        </is>
      </c>
      <c r="K1615" s="12" t="n">
        <v>1</v>
      </c>
    </row>
    <row r="1616">
      <c r="A1616" s="12" t="inlineStr">
        <is>
          <t>SC-2 stack (80 ft)</t>
        </is>
      </c>
      <c r="B1616" s="12" t="inlineStr"/>
      <c r="C1616" s="12" t="inlineStr">
        <is>
          <t>I</t>
        </is>
      </c>
      <c r="D1616" s="12" t="inlineStr">
        <is>
          <t>Area / platform lighting circuit 1 (4 fixtures)</t>
        </is>
      </c>
      <c r="E1616" s="12" t="n">
        <v>480</v>
      </c>
      <c r="F1616" s="12" t="n">
        <v>3</v>
      </c>
      <c r="G1616" s="12" t="n">
        <v>5</v>
      </c>
      <c r="H1616" s="12" t="inlineStr">
        <is>
          <t>SC-2 PCM + 15 kV GCB</t>
        </is>
      </c>
      <c r="I1616" s="12" t="inlineStr">
        <is>
          <t>LV 600 V</t>
        </is>
      </c>
      <c r="J1616" s="12" t="inlineStr">
        <is>
          <t>10</t>
        </is>
      </c>
      <c r="K1616" s="12" t="n">
        <v>1</v>
      </c>
    </row>
    <row r="1617">
      <c r="A1617" s="12" t="inlineStr">
        <is>
          <t>SC-2 tempering-air fans (2 x 100 %)</t>
        </is>
      </c>
      <c r="B1617" s="12" t="inlineStr"/>
      <c r="C1617" s="12" t="inlineStr">
        <is>
          <t>I</t>
        </is>
      </c>
      <c r="D1617" s="12" t="inlineStr">
        <is>
          <t>Motor 1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Motor 2 of 2, 185 kW</t>
        </is>
      </c>
      <c r="E1618" s="12" t="n">
        <v>480</v>
      </c>
      <c r="F1618" s="12" t="n">
        <v>185</v>
      </c>
      <c r="G1618" s="12" t="n">
        <v>261.8</v>
      </c>
      <c r="H1618" s="12" t="inlineStr">
        <is>
          <t>SC-2 PCM + 15 kV GCB</t>
        </is>
      </c>
      <c r="I1618" s="12" t="inlineStr">
        <is>
          <t>LV 600 V</t>
        </is>
      </c>
      <c r="J1618" s="12" t="inlineStr">
        <is>
          <t>500 kcmil</t>
        </is>
      </c>
      <c r="K1618" s="12" t="n">
        <v>1</v>
      </c>
    </row>
    <row r="1619">
      <c r="A1619" s="12" t="inlineStr">
        <is>
          <t>SC-2 tempering-air fans (2 x 100 %)</t>
        </is>
      </c>
      <c r="B1619" s="12" t="inlineStr"/>
      <c r="C1619" s="12" t="inlineStr">
        <is>
          <t>I</t>
        </is>
      </c>
      <c r="D1619" s="12" t="inlineStr">
        <is>
          <t>Area / platform lighting circuit 1 (4 fixtures)</t>
        </is>
      </c>
      <c r="E1619" s="12" t="n">
        <v>480</v>
      </c>
      <c r="F1619" s="12" t="n">
        <v>3</v>
      </c>
      <c r="G1619" s="12" t="n">
        <v>5</v>
      </c>
      <c r="H1619" s="12" t="inlineStr">
        <is>
          <t>SC-2 PCM + 15 kV GCB</t>
        </is>
      </c>
      <c r="I1619" s="12" t="inlineStr">
        <is>
          <t>LV 600 V</t>
        </is>
      </c>
      <c r="J1619" s="12" t="inlineStr">
        <is>
          <t>10</t>
        </is>
      </c>
      <c r="K1619" s="12" t="n">
        <v>1</v>
      </c>
    </row>
    <row r="1620">
      <c r="A1620" s="12" t="inlineStr">
        <is>
          <t>SC-2: aeroderivative simple-cycle unit (50 MW class)</t>
        </is>
      </c>
      <c r="B1620" s="12" t="inlineStr">
        <is>
          <t>SC-2</t>
        </is>
      </c>
      <c r="C1620" s="12" t="inlineStr">
        <is>
          <t>I</t>
        </is>
      </c>
      <c r="D1620" s="12" t="inlineStr">
        <is>
          <t>SC-2 emergency DC lube-oil pump (125 V DC, coast-down)</t>
        </is>
      </c>
      <c r="E1620" s="12" t="n">
        <v>125</v>
      </c>
      <c r="F1620" s="12" t="n">
        <v>7.5</v>
      </c>
      <c r="G1620" s="12" t="n">
        <v>65</v>
      </c>
      <c r="H1620" s="12" t="inlineStr">
        <is>
          <t>SC-2 PCM + 15 kV GCB</t>
        </is>
      </c>
      <c r="I1620" s="12" t="inlineStr">
        <is>
          <t>LV 600 V</t>
        </is>
      </c>
      <c r="J1620" s="12" t="inlineStr">
        <is>
          <t>2</t>
        </is>
      </c>
      <c r="K1620" s="12" t="n">
        <v>1</v>
      </c>
    </row>
    <row r="1621">
      <c r="A1621" s="12" t="inlineStr">
        <is>
          <t>SC-2: aeroderivative simple-cycle unit (50 MW class)</t>
        </is>
      </c>
      <c r="B1621" s="12" t="inlineStr">
        <is>
          <t>SC-2</t>
        </is>
      </c>
      <c r="C1621" s="12" t="inlineStr">
        <is>
          <t>I</t>
        </is>
      </c>
      <c r="D1621" s="12" t="inlineStr">
        <is>
          <t>SC-2 120 V AC UPS to the unit control and protection</t>
        </is>
      </c>
      <c r="E1621" s="12" t="n">
        <v>120</v>
      </c>
      <c r="F1621" s="12" t="n">
        <v>5</v>
      </c>
      <c r="G1621" s="12" t="n"/>
      <c r="H1621" s="12" t="inlineStr">
        <is>
          <t>SC-2 PCM + 15 kV GCB</t>
        </is>
      </c>
      <c r="I1621" s="12" t="inlineStr">
        <is>
          <t>LV 600 V</t>
        </is>
      </c>
      <c r="J1621" s="12" t="inlineStr">
        <is>
          <t>6</t>
        </is>
      </c>
      <c r="K1621" s="12" t="n">
        <v>1</v>
      </c>
    </row>
    <row r="1622">
      <c r="A1622" s="12" t="inlineStr">
        <is>
          <t>SC-2: aeroderivative simple-cycle unit (50 MW class)</t>
        </is>
      </c>
      <c r="B1622" s="12" t="inlineStr">
        <is>
          <t>SC-2</t>
        </is>
      </c>
      <c r="C1622" s="12" t="inlineStr">
        <is>
          <t>I</t>
        </is>
      </c>
      <c r="D1622" s="12" t="inlineStr">
        <is>
          <t>SC-2 hydraulic starter pump motor (start sequence only)</t>
        </is>
      </c>
      <c r="E1622" s="12" t="n">
        <v>480</v>
      </c>
      <c r="F1622" s="12" t="n">
        <v>225</v>
      </c>
      <c r="G1622" s="12" t="n">
        <v>318.4</v>
      </c>
      <c r="H1622" s="12" t="inlineStr">
        <is>
          <t>SC-2 PCM + 15 kV GCB</t>
        </is>
      </c>
      <c r="I1622" s="12" t="inlineStr">
        <is>
          <t>LV 600 V</t>
        </is>
      </c>
      <c r="J1622" s="12" t="inlineStr">
        <is>
          <t>3/0</t>
        </is>
      </c>
      <c r="K1622" s="12" t="n">
        <v>2</v>
      </c>
    </row>
    <row r="1623">
      <c r="A1623" s="12" t="inlineStr">
        <is>
          <t>SC-2: aeroderivative simple-cycle unit (50 MW class)</t>
        </is>
      </c>
      <c r="B1623" s="12" t="inlineStr">
        <is>
          <t>SC-2</t>
        </is>
      </c>
      <c r="C1623" s="12" t="inlineStr">
        <is>
          <t>I</t>
        </is>
      </c>
      <c r="D1623" s="12" t="inlineStr">
        <is>
          <t>SC-2 480 V welding receptacle 1</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(50 MW class)</t>
        </is>
      </c>
      <c r="B1624" s="12" t="inlineStr">
        <is>
          <t>SC-2</t>
        </is>
      </c>
      <c r="C1624" s="12" t="inlineStr">
        <is>
          <t>I</t>
        </is>
      </c>
      <c r="D1624" s="12" t="inlineStr">
        <is>
          <t>SC-2 480 V welding receptacle 2</t>
        </is>
      </c>
      <c r="E1624" s="12" t="n">
        <v>480</v>
      </c>
      <c r="F1624" s="12" t="n">
        <v>60</v>
      </c>
      <c r="G1624" s="12" t="n">
        <v>76</v>
      </c>
      <c r="H1624" s="12" t="inlineStr">
        <is>
          <t>SC-2 PCM + 15 kV GCB</t>
        </is>
      </c>
      <c r="I1624" s="12" t="inlineStr">
        <is>
          <t>LV 600 V</t>
        </is>
      </c>
      <c r="J1624" s="12" t="inlineStr">
        <is>
          <t>2</t>
        </is>
      </c>
      <c r="K1624" s="12" t="n">
        <v>1</v>
      </c>
    </row>
    <row r="1625">
      <c r="A1625" s="12" t="inlineStr">
        <is>
          <t>SC-2: aeroderivative simple-cycle unit (50 MW class)</t>
        </is>
      </c>
      <c r="B1625" s="12" t="inlineStr">
        <is>
          <t>SC-2</t>
        </is>
      </c>
      <c r="C1625" s="12" t="inlineStr">
        <is>
          <t>I</t>
        </is>
      </c>
      <c r="D1625" s="12" t="inlineStr">
        <is>
          <t>Motor 1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(50 MW class)</t>
        </is>
      </c>
      <c r="B1626" s="12" t="inlineStr">
        <is>
          <t>SC-2</t>
        </is>
      </c>
      <c r="C1626" s="12" t="inlineStr">
        <is>
          <t>I</t>
        </is>
      </c>
      <c r="D1626" s="12" t="inlineStr">
        <is>
          <t>Motor 2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(50 MW class)</t>
        </is>
      </c>
      <c r="B1627" s="12" t="inlineStr">
        <is>
          <t>SC-2</t>
        </is>
      </c>
      <c r="C1627" s="12" t="inlineStr">
        <is>
          <t>I</t>
        </is>
      </c>
      <c r="D1627" s="12" t="inlineStr">
        <is>
          <t>Motor 3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(50 MW class)</t>
        </is>
      </c>
      <c r="B1628" s="12" t="inlineStr">
        <is>
          <t>SC-2</t>
        </is>
      </c>
      <c r="C1628" s="12" t="inlineStr">
        <is>
          <t>I</t>
        </is>
      </c>
      <c r="D1628" s="12" t="inlineStr">
        <is>
          <t>Motor 4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(50 MW class)</t>
        </is>
      </c>
      <c r="B1629" s="12" t="inlineStr">
        <is>
          <t>SC-2</t>
        </is>
      </c>
      <c r="C1629" s="12" t="inlineStr">
        <is>
          <t>I</t>
        </is>
      </c>
      <c r="D1629" s="12" t="inlineStr">
        <is>
          <t>Motor 5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(50 MW class)</t>
        </is>
      </c>
      <c r="B1630" s="12" t="inlineStr">
        <is>
          <t>SC-2</t>
        </is>
      </c>
      <c r="C1630" s="12" t="inlineStr">
        <is>
          <t>I</t>
        </is>
      </c>
      <c r="D1630" s="12" t="inlineStr">
        <is>
          <t>Motor 6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(50 MW class)</t>
        </is>
      </c>
      <c r="B1631" s="12" t="inlineStr">
        <is>
          <t>SC-2</t>
        </is>
      </c>
      <c r="C1631" s="12" t="inlineStr">
        <is>
          <t>I</t>
        </is>
      </c>
      <c r="D1631" s="12" t="inlineStr">
        <is>
          <t>Motor 7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(50 MW class)</t>
        </is>
      </c>
      <c r="B1632" s="12" t="inlineStr">
        <is>
          <t>SC-2</t>
        </is>
      </c>
      <c r="C1632" s="12" t="inlineStr">
        <is>
          <t>I</t>
        </is>
      </c>
      <c r="D1632" s="12" t="inlineStr">
        <is>
          <t>Motor 8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(50 MW class)</t>
        </is>
      </c>
      <c r="B1633" s="12" t="inlineStr">
        <is>
          <t>SC-2</t>
        </is>
      </c>
      <c r="C1633" s="12" t="inlineStr">
        <is>
          <t>I</t>
        </is>
      </c>
      <c r="D1633" s="12" t="inlineStr">
        <is>
          <t>Motor 9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(50 MW class)</t>
        </is>
      </c>
      <c r="B1634" s="12" t="inlineStr">
        <is>
          <t>SC-2</t>
        </is>
      </c>
      <c r="C1634" s="12" t="inlineStr">
        <is>
          <t>I</t>
        </is>
      </c>
      <c r="D1634" s="12" t="inlineStr">
        <is>
          <t>Motor 10 of 10, 30 kW</t>
        </is>
      </c>
      <c r="E1634" s="12" t="n">
        <v>480</v>
      </c>
      <c r="F1634" s="12" t="n">
        <v>30</v>
      </c>
      <c r="G1634" s="12" t="n">
        <v>42.5</v>
      </c>
      <c r="H1634" s="12" t="inlineStr">
        <is>
          <t>SC-2 PCM + 15 kV GCB</t>
        </is>
      </c>
      <c r="I1634" s="12" t="inlineStr">
        <is>
          <t>LV 600 V</t>
        </is>
      </c>
      <c r="J1634" s="12" t="inlineStr">
        <is>
          <t>6</t>
        </is>
      </c>
      <c r="K1634" s="12" t="n">
        <v>1</v>
      </c>
    </row>
    <row r="1635">
      <c r="A1635" s="12" t="inlineStr">
        <is>
          <t>SC-2: aeroderivative simple-cycle unit (50 MW class)</t>
        </is>
      </c>
      <c r="B1635" s="12" t="inlineStr">
        <is>
          <t>SC-2</t>
        </is>
      </c>
      <c r="C1635" s="12" t="inlineStr">
        <is>
          <t>I</t>
        </is>
      </c>
      <c r="D1635" s="12" t="inlineStr">
        <is>
          <t>Area / platform lighting circuit 1 (8 fixtures)</t>
        </is>
      </c>
      <c r="E1635" s="12" t="n">
        <v>480</v>
      </c>
      <c r="F1635" s="12" t="n">
        <v>3</v>
      </c>
      <c r="G1635" s="12" t="n">
        <v>5</v>
      </c>
      <c r="H1635" s="12" t="inlineStr">
        <is>
          <t>SC-2 PCM + 15 kV GCB</t>
        </is>
      </c>
      <c r="I1635" s="12" t="inlineStr">
        <is>
          <t>LV 600 V</t>
        </is>
      </c>
      <c r="J1635" s="12" t="inlineStr">
        <is>
          <t>10</t>
        </is>
      </c>
      <c r="K1635" s="12" t="n">
        <v>1</v>
      </c>
    </row>
    <row r="1636">
      <c r="A1636" s="12" t="inlineStr">
        <is>
          <t xml:space="preserve">SWG-MY: 35 kV switchgear lineup for the modular blocks (group breaker </t>
        </is>
      </c>
      <c r="B1636" s="12" t="inlineStr">
        <is>
          <t>SWG-MY</t>
        </is>
      </c>
      <c r="C1636" s="12" t="inlineStr">
        <is>
          <t>I</t>
        </is>
      </c>
      <c r="D1636" s="12" t="inlineStr">
        <is>
          <t>SWG-MY station service from its internal 480 V aux transformer: charger, heaters, HVAC</t>
        </is>
      </c>
      <c r="E1636" s="12" t="n">
        <v>480</v>
      </c>
      <c r="F1636" s="12" t="n">
        <v>45</v>
      </c>
      <c r="G1636" s="12" t="n">
        <v>60</v>
      </c>
      <c r="H1636" s="12" t="inlineStr">
        <is>
          <t>SWG-MY: 35 kV switchgear lineup for the modular blocks (grou</t>
        </is>
      </c>
      <c r="I1636" s="12" t="inlineStr">
        <is>
          <t>LV 600 V</t>
        </is>
      </c>
      <c r="J1636" s="12" t="inlineStr">
        <is>
          <t>2</t>
        </is>
      </c>
      <c r="K1636" s="12" t="n">
        <v>1</v>
      </c>
    </row>
    <row r="1637">
      <c r="A1637" s="12" t="inlineStr">
        <is>
          <t>SWG-PK: 34.5 kV park collector switchgear (2 bus sections, tie; 8 feed</t>
        </is>
      </c>
      <c r="B1637" s="12" t="inlineStr">
        <is>
          <t>SWG-PK</t>
        </is>
      </c>
      <c r="C1637" s="12" t="inlineStr">
        <is>
          <t>I</t>
        </is>
      </c>
      <c r="D1637" s="12" t="inlineStr">
        <is>
          <t>SWG-PK station service, HVAC, lighting, DC charger (station-service transformer inside)</t>
        </is>
      </c>
      <c r="E1637" s="12" t="n">
        <v>480</v>
      </c>
      <c r="F1637" s="12" t="n">
        <v>60</v>
      </c>
      <c r="G1637" s="12" t="n">
        <v>85</v>
      </c>
      <c r="H1637" s="12" t="inlineStr">
        <is>
          <t>SWG-PK: 34.5 kV park collector switchgear (2 bus sections, t</t>
        </is>
      </c>
      <c r="I1637" s="12" t="inlineStr">
        <is>
          <t>LV 600 V</t>
        </is>
      </c>
      <c r="J1637" s="12" t="inlineStr">
        <is>
          <t>2</t>
        </is>
      </c>
      <c r="K1637" s="12" t="n">
        <v>1</v>
      </c>
    </row>
    <row r="1638">
      <c r="A1638" s="12" t="inlineStr">
        <is>
          <t>T-MOD 230 kV take-off gantry with arresters</t>
        </is>
      </c>
      <c r="B1638" s="12" t="inlineStr"/>
      <c r="C1638" s="12" t="inlineStr">
        <is>
          <t>I</t>
        </is>
      </c>
      <c r="D1638" s="12" t="inlineStr">
        <is>
          <t>Motor 1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2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3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4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5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 230 kV take-off gantry with arresters</t>
        </is>
      </c>
      <c r="B1643" s="12" t="inlineStr"/>
      <c r="C1643" s="12" t="inlineStr">
        <is>
          <t>I</t>
        </is>
      </c>
      <c r="D1643" s="12" t="inlineStr">
        <is>
          <t>Motor 6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 T-MOD-2 firewall</t>
        </is>
      </c>
      <c r="B1649" s="12" t="inlineStr"/>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1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2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3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4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5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T-MOD-1: 230 / 34.5 kV</t>
        </is>
      </c>
      <c r="B1655" s="12" t="inlineStr">
        <is>
          <t>T-MOD-1</t>
        </is>
      </c>
      <c r="C1655" s="12" t="inlineStr">
        <is>
          <t>I</t>
        </is>
      </c>
      <c r="D1655" s="12" t="inlineStr">
        <is>
          <t>Motor 6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 T-MOD-3 firewall</t>
        </is>
      </c>
      <c r="B1656" s="12" t="inlineStr"/>
      <c r="C1656" s="12" t="inlineStr">
        <is>
          <t>I</t>
        </is>
      </c>
      <c r="D1656" s="12" t="inlineStr">
        <is>
          <t>Motor 1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 T-MOD-3 firewall</t>
        </is>
      </c>
      <c r="B1657" s="12" t="inlineStr"/>
      <c r="C1657" s="12" t="inlineStr">
        <is>
          <t>I</t>
        </is>
      </c>
      <c r="D1657" s="12" t="inlineStr">
        <is>
          <t>Motor 2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 T-MOD-3 firewall</t>
        </is>
      </c>
      <c r="B1658" s="12" t="inlineStr"/>
      <c r="C1658" s="12" t="inlineStr">
        <is>
          <t>I</t>
        </is>
      </c>
      <c r="D1658" s="12" t="inlineStr">
        <is>
          <t>Motor 3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 T-MOD-3 firewall</t>
        </is>
      </c>
      <c r="B1659" s="12" t="inlineStr"/>
      <c r="C1659" s="12" t="inlineStr">
        <is>
          <t>I</t>
        </is>
      </c>
      <c r="D1659" s="12" t="inlineStr">
        <is>
          <t>Motor 4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 T-MOD-3 firewall</t>
        </is>
      </c>
      <c r="B1660" s="12" t="inlineStr"/>
      <c r="C1660" s="12" t="inlineStr">
        <is>
          <t>I</t>
        </is>
      </c>
      <c r="D1660" s="12" t="inlineStr">
        <is>
          <t>Motor 5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T-MOD-2 / T-MOD-3 firewall</t>
        </is>
      </c>
      <c r="B1661" s="12" t="inlineStr"/>
      <c r="C1661" s="12" t="inlineStr">
        <is>
          <t>I</t>
        </is>
      </c>
      <c r="D1661" s="12" t="inlineStr">
        <is>
          <t>Motor 6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T-MOD-2: 230 / 34.5 kV</t>
        </is>
      </c>
      <c r="B1662" s="12" t="inlineStr">
        <is>
          <t>T-MOD-2</t>
        </is>
      </c>
      <c r="C1662" s="12" t="inlineStr">
        <is>
          <t>I</t>
        </is>
      </c>
      <c r="D1662" s="12" t="inlineStr">
        <is>
          <t>Motor 1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T-MOD-2: 230 / 34.5 kV</t>
        </is>
      </c>
      <c r="B1663" s="12" t="inlineStr">
        <is>
          <t>T-MOD-2</t>
        </is>
      </c>
      <c r="C1663" s="12" t="inlineStr">
        <is>
          <t>I</t>
        </is>
      </c>
      <c r="D1663" s="12" t="inlineStr">
        <is>
          <t>Motor 2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T-MOD-2: 230 / 34.5 kV</t>
        </is>
      </c>
      <c r="B1664" s="12" t="inlineStr">
        <is>
          <t>T-MOD-2</t>
        </is>
      </c>
      <c r="C1664" s="12" t="inlineStr">
        <is>
          <t>I</t>
        </is>
      </c>
      <c r="D1664" s="12" t="inlineStr">
        <is>
          <t>Motor 3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T-MOD-2: 230 / 34.5 kV</t>
        </is>
      </c>
      <c r="B1665" s="12" t="inlineStr">
        <is>
          <t>T-MOD-2</t>
        </is>
      </c>
      <c r="C1665" s="12" t="inlineStr">
        <is>
          <t>I</t>
        </is>
      </c>
      <c r="D1665" s="12" t="inlineStr">
        <is>
          <t>Motor 4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T-MOD-2: 230 / 34.5 kV</t>
        </is>
      </c>
      <c r="B1666" s="12" t="inlineStr">
        <is>
          <t>T-MOD-2</t>
        </is>
      </c>
      <c r="C1666" s="12" t="inlineStr">
        <is>
          <t>I</t>
        </is>
      </c>
      <c r="D1666" s="12" t="inlineStr">
        <is>
          <t>Motor 5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T-MOD-2: 230 / 34.5 kV</t>
        </is>
      </c>
      <c r="B1667" s="12" t="inlineStr">
        <is>
          <t>T-MOD-2</t>
        </is>
      </c>
      <c r="C1667" s="12" t="inlineStr">
        <is>
          <t>I</t>
        </is>
      </c>
      <c r="D1667" s="12" t="inlineStr">
        <is>
          <t>Motor 6 of 6, 2 kW</t>
        </is>
      </c>
      <c r="E1667" s="12" t="n">
        <v>480</v>
      </c>
      <c r="F1667" s="12" t="n">
        <v>2</v>
      </c>
      <c r="G1667" s="12" t="n">
        <v>2.8</v>
      </c>
      <c r="H1667" s="12" t="inlineStr">
        <is>
          <t>MOD-LV 480 V board + 480 V : 13.8 kV step-up</t>
        </is>
      </c>
      <c r="I1667" s="12" t="inlineStr">
        <is>
          <t>LV 600 V</t>
        </is>
      </c>
      <c r="J1667" s="12" t="inlineStr">
        <is>
          <t>10</t>
        </is>
      </c>
      <c r="K1667" s="12" t="n">
        <v>1</v>
      </c>
    </row>
    <row r="1668">
      <c r="A1668" s="12" t="inlineStr">
        <is>
          <t>T-MOD-3 230 kV gantry extension with arresters</t>
        </is>
      </c>
      <c r="B1668" s="12" t="inlineStr"/>
      <c r="C1668" s="12" t="inlineStr">
        <is>
          <t>I</t>
        </is>
      </c>
      <c r="D1668" s="12" t="inlineStr">
        <is>
          <t>Motor 1 of 6, 2 kW</t>
        </is>
      </c>
      <c r="E1668" s="12" t="n">
        <v>480</v>
      </c>
      <c r="F1668" s="12" t="n">
        <v>2</v>
      </c>
      <c r="G1668" s="12" t="n">
        <v>2.8</v>
      </c>
      <c r="H1668" s="12" t="inlineStr">
        <is>
          <t>MOD-LV 480 V board + 480 V : 13.8 kV step-up</t>
        </is>
      </c>
      <c r="I1668" s="12" t="inlineStr">
        <is>
          <t>LV 600 V</t>
        </is>
      </c>
      <c r="J1668" s="12" t="inlineStr">
        <is>
          <t>10</t>
        </is>
      </c>
      <c r="K1668" s="12" t="n">
        <v>1</v>
      </c>
    </row>
    <row r="1669">
      <c r="A1669" s="12" t="inlineStr">
        <is>
          <t>T-MOD-3 230 kV gantry extension with arresters</t>
        </is>
      </c>
      <c r="B1669" s="12" t="inlineStr"/>
      <c r="C1669" s="12" t="inlineStr">
        <is>
          <t>I</t>
        </is>
      </c>
      <c r="D1669" s="12" t="inlineStr">
        <is>
          <t>Motor 2 of 6, 2 kW</t>
        </is>
      </c>
      <c r="E1669" s="12" t="n">
        <v>480</v>
      </c>
      <c r="F1669" s="12" t="n">
        <v>2</v>
      </c>
      <c r="G1669" s="12" t="n">
        <v>2.8</v>
      </c>
      <c r="H1669" s="12" t="inlineStr">
        <is>
          <t>MOD-LV 480 V board + 480 V : 13.8 kV step-up</t>
        </is>
      </c>
      <c r="I1669" s="12" t="inlineStr">
        <is>
          <t>LV 600 V</t>
        </is>
      </c>
      <c r="J1669" s="12" t="inlineStr">
        <is>
          <t>10</t>
        </is>
      </c>
      <c r="K1669" s="12" t="n">
        <v>1</v>
      </c>
    </row>
    <row r="1670">
      <c r="A1670" s="12" t="inlineStr">
        <is>
          <t>T-MOD-3 230 kV gantry extension with arresters</t>
        </is>
      </c>
      <c r="B1670" s="12" t="inlineStr"/>
      <c r="C1670" s="12" t="inlineStr">
        <is>
          <t>I</t>
        </is>
      </c>
      <c r="D1670" s="12" t="inlineStr">
        <is>
          <t>Motor 3 of 6, 2 kW</t>
        </is>
      </c>
      <c r="E1670" s="12" t="n">
        <v>480</v>
      </c>
      <c r="F1670" s="12" t="n">
        <v>2</v>
      </c>
      <c r="G1670" s="12" t="n">
        <v>2.8</v>
      </c>
      <c r="H1670" s="12" t="inlineStr">
        <is>
          <t>MOD-LV 480 V board + 480 V : 13.8 kV step-up</t>
        </is>
      </c>
      <c r="I1670" s="12" t="inlineStr">
        <is>
          <t>LV 600 V</t>
        </is>
      </c>
      <c r="J1670" s="12" t="inlineStr">
        <is>
          <t>10</t>
        </is>
      </c>
      <c r="K1670" s="12" t="n">
        <v>1</v>
      </c>
    </row>
    <row r="1671">
      <c r="A1671" s="12" t="inlineStr">
        <is>
          <t>T-MOD-3 230 kV gantry extension with arresters</t>
        </is>
      </c>
      <c r="B1671" s="12" t="inlineStr"/>
      <c r="C1671" s="12" t="inlineStr">
        <is>
          <t>I</t>
        </is>
      </c>
      <c r="D1671" s="12" t="inlineStr">
        <is>
          <t>Motor 4 of 6, 2 kW</t>
        </is>
      </c>
      <c r="E1671" s="12" t="n">
        <v>480</v>
      </c>
      <c r="F1671" s="12" t="n">
        <v>2</v>
      </c>
      <c r="G1671" s="12" t="n">
        <v>2.8</v>
      </c>
      <c r="H1671" s="12" t="inlineStr">
        <is>
          <t>MOD-LV 480 V board + 480 V : 13.8 kV step-up</t>
        </is>
      </c>
      <c r="I1671" s="12" t="inlineStr">
        <is>
          <t>LV 600 V</t>
        </is>
      </c>
      <c r="J1671" s="12" t="inlineStr">
        <is>
          <t>10</t>
        </is>
      </c>
      <c r="K1671" s="12" t="n">
        <v>1</v>
      </c>
    </row>
    <row r="1672">
      <c r="A1672" s="12" t="inlineStr">
        <is>
          <t>T-MOD-3 230 kV gantry extension with arresters</t>
        </is>
      </c>
      <c r="B1672" s="12" t="inlineStr"/>
      <c r="C1672" s="12" t="inlineStr">
        <is>
          <t>I</t>
        </is>
      </c>
      <c r="D1672" s="12" t="inlineStr">
        <is>
          <t>Motor 5 of 6, 2 kW</t>
        </is>
      </c>
      <c r="E1672" s="12" t="n">
        <v>480</v>
      </c>
      <c r="F1672" s="12" t="n">
        <v>2</v>
      </c>
      <c r="G1672" s="12" t="n">
        <v>2.8</v>
      </c>
      <c r="H1672" s="12" t="inlineStr">
        <is>
          <t>MOD-LV 480 V board + 480 V : 13.8 kV step-up</t>
        </is>
      </c>
      <c r="I1672" s="12" t="inlineStr">
        <is>
          <t>LV 600 V</t>
        </is>
      </c>
      <c r="J1672" s="12" t="inlineStr">
        <is>
          <t>10</t>
        </is>
      </c>
      <c r="K1672" s="12" t="n">
        <v>1</v>
      </c>
    </row>
    <row r="1673">
      <c r="A1673" s="12" t="inlineStr">
        <is>
          <t>T-MOD-3 230 kV gantry extension with arresters</t>
        </is>
      </c>
      <c r="B1673" s="12" t="inlineStr"/>
      <c r="C1673" s="12" t="inlineStr">
        <is>
          <t>I</t>
        </is>
      </c>
      <c r="D1673" s="12" t="inlineStr">
        <is>
          <t>Motor 6 of 6, 2 kW</t>
        </is>
      </c>
      <c r="E1673" s="12" t="n">
        <v>480</v>
      </c>
      <c r="F1673" s="12" t="n">
        <v>2</v>
      </c>
      <c r="G1673" s="12" t="n">
        <v>2.8</v>
      </c>
      <c r="H1673" s="12" t="inlineStr">
        <is>
          <t>MOD-LV 480 V board + 480 V : 13.8 kV step-up</t>
        </is>
      </c>
      <c r="I1673" s="12" t="inlineStr">
        <is>
          <t>LV 600 V</t>
        </is>
      </c>
      <c r="J1673" s="12" t="inlineStr">
        <is>
          <t>10</t>
        </is>
      </c>
      <c r="K1673" s="12" t="n">
        <v>1</v>
      </c>
    </row>
    <row r="1674">
      <c r="A1674" s="12" t="inlineStr">
        <is>
          <t>TGF-SWG: mobile 13.8 kV switchgear trailer (fleet collector)</t>
        </is>
      </c>
      <c r="B1674" s="12" t="inlineStr">
        <is>
          <t>TGF-SWG</t>
        </is>
      </c>
      <c r="C1674" s="12" t="inlineStr">
        <is>
          <t>I</t>
        </is>
      </c>
      <c r="D1674" s="12" t="inlineStr">
        <is>
          <t>TGF-SWG station service from its internal 480 V aux transformer: charger, heaters, HVAC</t>
        </is>
      </c>
      <c r="E1674" s="12" t="n">
        <v>480</v>
      </c>
      <c r="F1674" s="12" t="n">
        <v>45</v>
      </c>
      <c r="G1674" s="12" t="n">
        <v>60</v>
      </c>
      <c r="H1674" s="12" t="inlineStr">
        <is>
          <t>TGF-SWG: mobile 13.8 kV switchgear trailer (fleet collector)</t>
        </is>
      </c>
      <c r="I1674" s="12" t="inlineStr">
        <is>
          <t>LV 600 V</t>
        </is>
      </c>
      <c r="J1674" s="12" t="inlineStr">
        <is>
          <t>2</t>
        </is>
      </c>
      <c r="K1674" s="12" t="n">
        <v>1</v>
      </c>
    </row>
    <row r="1675">
      <c r="A1675" s="12" t="inlineStr">
        <is>
          <t>TM-1: trailer-mounted aeroderivative GT (~35 MW)</t>
        </is>
      </c>
      <c r="B1675" s="12" t="inlineStr">
        <is>
          <t>TM-1</t>
        </is>
      </c>
      <c r="C1675" s="12" t="inlineStr">
        <is>
          <t>I</t>
        </is>
      </c>
      <c r="D1675" s="12" t="inlineStr">
        <is>
          <t>Motor 1 of 6, 22 kW</t>
        </is>
      </c>
      <c r="E1675" s="12" t="n">
        <v>480</v>
      </c>
      <c r="F1675" s="12" t="n">
        <v>22</v>
      </c>
      <c r="G1675" s="12" t="n">
        <v>31.1</v>
      </c>
      <c r="H1675" s="12" t="inlineStr">
        <is>
          <t>MOD-LV 480 V board + 480 V : 13.8 kV step-up</t>
        </is>
      </c>
      <c r="I1675" s="12" t="inlineStr">
        <is>
          <t>LV 600 V</t>
        </is>
      </c>
      <c r="J1675" s="12" t="inlineStr">
        <is>
          <t>6</t>
        </is>
      </c>
      <c r="K1675" s="12" t="n">
        <v>1</v>
      </c>
    </row>
    <row r="1676">
      <c r="A1676" s="12" t="inlineStr">
        <is>
          <t>TM-1: trailer-mounted aeroderivative GT (~35 MW)</t>
        </is>
      </c>
      <c r="B1676" s="12" t="inlineStr">
        <is>
          <t>TM-1</t>
        </is>
      </c>
      <c r="C1676" s="12" t="inlineStr">
        <is>
          <t>I</t>
        </is>
      </c>
      <c r="D1676" s="12" t="inlineStr">
        <is>
          <t>Motor 2 of 6, 22 kW</t>
        </is>
      </c>
      <c r="E1676" s="12" t="n">
        <v>480</v>
      </c>
      <c r="F1676" s="12" t="n">
        <v>22</v>
      </c>
      <c r="G1676" s="12" t="n">
        <v>31.1</v>
      </c>
      <c r="H1676" s="12" t="inlineStr">
        <is>
          <t>MOD-LV 480 V board + 480 V : 13.8 kV step-up</t>
        </is>
      </c>
      <c r="I1676" s="12" t="inlineStr">
        <is>
          <t>LV 600 V</t>
        </is>
      </c>
      <c r="J1676" s="12" t="inlineStr">
        <is>
          <t>6</t>
        </is>
      </c>
      <c r="K1676" s="12" t="n">
        <v>1</v>
      </c>
    </row>
    <row r="1677">
      <c r="A1677" s="12" t="inlineStr">
        <is>
          <t>TM-1: trailer-mounted aeroderivative GT (~35 MW)</t>
        </is>
      </c>
      <c r="B1677" s="12" t="inlineStr">
        <is>
          <t>TM-1</t>
        </is>
      </c>
      <c r="C1677" s="12" t="inlineStr">
        <is>
          <t>I</t>
        </is>
      </c>
      <c r="D1677" s="12" t="inlineStr">
        <is>
          <t>Motor 3 of 6, 22 kW</t>
        </is>
      </c>
      <c r="E1677" s="12" t="n">
        <v>480</v>
      </c>
      <c r="F1677" s="12" t="n">
        <v>22</v>
      </c>
      <c r="G1677" s="12" t="n">
        <v>31.1</v>
      </c>
      <c r="H1677" s="12" t="inlineStr">
        <is>
          <t>MOD-LV 480 V board + 480 V : 13.8 kV step-up</t>
        </is>
      </c>
      <c r="I1677" s="12" t="inlineStr">
        <is>
          <t>LV 600 V</t>
        </is>
      </c>
      <c r="J1677" s="12" t="inlineStr">
        <is>
          <t>6</t>
        </is>
      </c>
      <c r="K1677" s="12" t="n">
        <v>1</v>
      </c>
    </row>
    <row r="1678">
      <c r="A1678" s="12" t="inlineStr">
        <is>
          <t>TM-1: trailer-mounted aeroderivative GT (~35 MW)</t>
        </is>
      </c>
      <c r="B1678" s="12" t="inlineStr">
        <is>
          <t>TM-1</t>
        </is>
      </c>
      <c r="C1678" s="12" t="inlineStr">
        <is>
          <t>I</t>
        </is>
      </c>
      <c r="D1678" s="12" t="inlineStr">
        <is>
          <t>Motor 4 of 6, 22 kW</t>
        </is>
      </c>
      <c r="E1678" s="12" t="n">
        <v>480</v>
      </c>
      <c r="F1678" s="12" t="n">
        <v>22</v>
      </c>
      <c r="G1678" s="12" t="n">
        <v>31.1</v>
      </c>
      <c r="H1678" s="12" t="inlineStr">
        <is>
          <t>MOD-LV 480 V board + 480 V : 13.8 kV step-up</t>
        </is>
      </c>
      <c r="I1678" s="12" t="inlineStr">
        <is>
          <t>LV 600 V</t>
        </is>
      </c>
      <c r="J1678" s="12" t="inlineStr">
        <is>
          <t>6</t>
        </is>
      </c>
      <c r="K1678" s="12" t="n">
        <v>1</v>
      </c>
    </row>
    <row r="1679">
      <c r="A1679" s="12" t="inlineStr">
        <is>
          <t>TM-1: trailer-mounted aeroderivative GT (~35 MW)</t>
        </is>
      </c>
      <c r="B1679" s="12" t="inlineStr">
        <is>
          <t>TM-1</t>
        </is>
      </c>
      <c r="C1679" s="12" t="inlineStr">
        <is>
          <t>I</t>
        </is>
      </c>
      <c r="D1679" s="12" t="inlineStr">
        <is>
          <t>Motor 5 of 6, 22 kW</t>
        </is>
      </c>
      <c r="E1679" s="12" t="n">
        <v>480</v>
      </c>
      <c r="F1679" s="12" t="n">
        <v>22</v>
      </c>
      <c r="G1679" s="12" t="n">
        <v>31.1</v>
      </c>
      <c r="H1679" s="12" t="inlineStr">
        <is>
          <t>MOD-LV 480 V board + 480 V : 13.8 kV step-up</t>
        </is>
      </c>
      <c r="I1679" s="12" t="inlineStr">
        <is>
          <t>LV 600 V</t>
        </is>
      </c>
      <c r="J1679" s="12" t="inlineStr">
        <is>
          <t>6</t>
        </is>
      </c>
      <c r="K1679" s="12" t="n">
        <v>1</v>
      </c>
    </row>
    <row r="1680">
      <c r="A1680" s="12" t="inlineStr">
        <is>
          <t>TM-1: trailer-mounted aeroderivative GT (~35 MW)</t>
        </is>
      </c>
      <c r="B1680" s="12" t="inlineStr">
        <is>
          <t>TM-1</t>
        </is>
      </c>
      <c r="C1680" s="12" t="inlineStr">
        <is>
          <t>I</t>
        </is>
      </c>
      <c r="D1680" s="12" t="inlineStr">
        <is>
          <t>Motor 6 of 6, 22 kW</t>
        </is>
      </c>
      <c r="E1680" s="12" t="n">
        <v>480</v>
      </c>
      <c r="F1680" s="12" t="n">
        <v>22</v>
      </c>
      <c r="G1680" s="12" t="n">
        <v>31.1</v>
      </c>
      <c r="H1680" s="12" t="inlineStr">
        <is>
          <t>MOD-LV 480 V board + 480 V : 13.8 kV step-up</t>
        </is>
      </c>
      <c r="I1680" s="12" t="inlineStr">
        <is>
          <t>LV 600 V</t>
        </is>
      </c>
      <c r="J1680" s="12" t="inlineStr">
        <is>
          <t>6</t>
        </is>
      </c>
      <c r="K1680" s="12" t="n">
        <v>1</v>
      </c>
    </row>
    <row r="1681">
      <c r="A1681" s="12" t="inlineStr">
        <is>
          <t>Water-injection skid</t>
        </is>
      </c>
      <c r="B1681" s="12" t="inlineStr"/>
      <c r="C1681" s="12" t="inlineStr">
        <is>
          <t>I</t>
        </is>
      </c>
      <c r="D1681" s="12" t="inlineStr">
        <is>
          <t>Motor 1 of 2, 75 kW</t>
        </is>
      </c>
      <c r="E1681" s="12" t="n">
        <v>480</v>
      </c>
      <c r="F1681" s="12" t="n">
        <v>75</v>
      </c>
      <c r="G1681" s="12" t="n">
        <v>106.1</v>
      </c>
      <c r="H1681" s="12" t="inlineStr">
        <is>
          <t>SC-2 PCM + 15 kV GCB</t>
        </is>
      </c>
      <c r="I1681" s="12" t="inlineStr">
        <is>
          <t>LV 600 V</t>
        </is>
      </c>
      <c r="J1681" s="12" t="inlineStr">
        <is>
          <t>1/0</t>
        </is>
      </c>
      <c r="K1681" s="12" t="n">
        <v>1</v>
      </c>
    </row>
    <row r="1682">
      <c r="A1682" s="12" t="inlineStr">
        <is>
          <t>Water-injection skid</t>
        </is>
      </c>
      <c r="B1682" s="12" t="inlineStr"/>
      <c r="C1682" s="12" t="inlineStr">
        <is>
          <t>I</t>
        </is>
      </c>
      <c r="D1682" s="12" t="inlineStr">
        <is>
          <t>Motor 2 of 2, 75 kW</t>
        </is>
      </c>
      <c r="E1682" s="12" t="n">
        <v>480</v>
      </c>
      <c r="F1682" s="12" t="n">
        <v>75</v>
      </c>
      <c r="G1682" s="12" t="n">
        <v>106.1</v>
      </c>
      <c r="H1682" s="12" t="inlineStr">
        <is>
          <t>SC-2 PCM + 15 kV GCB</t>
        </is>
      </c>
      <c r="I1682" s="12" t="inlineStr">
        <is>
          <t>LV 600 V</t>
        </is>
      </c>
      <c r="J1682" s="12" t="inlineStr">
        <is>
          <t>1/0</t>
        </is>
      </c>
      <c r="K1682" s="12" t="n">
        <v>1</v>
      </c>
    </row>
    <row r="1683">
      <c r="A1683" s="12" t="inlineStr">
        <is>
          <t>AX-GSU: 13.8 / 34.5 kV step-up, ~45 MVA (AX-1 unit step-up)</t>
        </is>
      </c>
      <c r="B1683" s="12" t="inlineStr">
        <is>
          <t>AX-GSU</t>
        </is>
      </c>
      <c r="C1683" s="12" t="inlineStr">
        <is>
          <t>I</t>
        </is>
      </c>
      <c r="D1683" s="12" t="inlineStr">
        <is>
          <t>AX-1 13.8 kV generator leads to AX-GSU</t>
        </is>
      </c>
      <c r="E1683" s="12" t="n">
        <v>13800</v>
      </c>
      <c r="F1683" s="12" t="n">
        <v>35000</v>
      </c>
      <c r="G1683" s="12" t="n">
        <v>1627</v>
      </c>
      <c r="H1683" s="12" t="inlineStr">
        <is>
          <t>AX-1: compact modular aeroderivative installation, ~35 MW cl</t>
        </is>
      </c>
      <c r="I1683" s="12" t="inlineStr">
        <is>
          <t>MV 15 kV</t>
        </is>
      </c>
      <c r="J1683" s="12" t="inlineStr">
        <is>
          <t>750 kcmil</t>
        </is>
      </c>
      <c r="K1683" s="12" t="n">
        <v>4</v>
      </c>
    </row>
    <row r="1684">
      <c r="A1684" s="12" t="inlineStr">
        <is>
          <t>CGE-AUX: 13.8 / 0.48 kV auxiliary transformer (cooling containers, rad</t>
        </is>
      </c>
      <c r="B1684" s="12" t="inlineStr">
        <is>
          <t>CGE-AUX</t>
        </is>
      </c>
      <c r="C1684" s="12" t="inlineStr">
        <is>
          <t>I</t>
        </is>
      </c>
      <c r="D1684" s="12" t="inlineStr">
        <is>
          <t>CGE-AUX 13.8 kV primary</t>
        </is>
      </c>
      <c r="E1684" s="12" t="n">
        <v>13800</v>
      </c>
      <c r="F1684" s="12" t="n">
        <v>600</v>
      </c>
      <c r="G1684" s="12" t="n">
        <v>25</v>
      </c>
      <c r="H1684" s="12" t="inlineStr">
        <is>
          <t>CGE-SWG: 13.8 kV switchgear container (engine breakers, site</t>
        </is>
      </c>
      <c r="I1684" s="12" t="inlineStr">
        <is>
          <t>MV 15 kV</t>
        </is>
      </c>
      <c r="J1684" s="12" t="inlineStr">
        <is>
          <t>2</t>
        </is>
      </c>
      <c r="K1684" s="12" t="n">
        <v>1</v>
      </c>
    </row>
    <row r="1685">
      <c r="A1685" s="12" t="inlineStr">
        <is>
          <t>CGE-GSU: 13.8 / 34.5 kV step-up, ~20 MVA (containerized engines)</t>
        </is>
      </c>
      <c r="B1685" s="12" t="inlineStr">
        <is>
          <t>CGE-GSU</t>
        </is>
      </c>
      <c r="C1685" s="12" t="inlineStr">
        <is>
          <t>I</t>
        </is>
      </c>
      <c r="D1685" s="12" t="inlineStr">
        <is>
          <t>CGE-SWG 13.8 kV to CGE-GSU</t>
        </is>
      </c>
      <c r="E1685" s="12" t="n">
        <v>13800</v>
      </c>
      <c r="F1685" s="12" t="n">
        <v>17600</v>
      </c>
      <c r="G1685" s="12" t="n">
        <v>818</v>
      </c>
      <c r="H1685" s="12" t="inlineStr">
        <is>
          <t>CGE-SWG: 13.8 kV switchgear container (engine breakers, site</t>
        </is>
      </c>
      <c r="I1685" s="12" t="inlineStr">
        <is>
          <t>MV 15 kV</t>
        </is>
      </c>
      <c r="J1685" s="12" t="inlineStr">
        <is>
          <t>750 kcmil</t>
        </is>
      </c>
      <c r="K1685" s="12" t="n">
        <v>2</v>
      </c>
    </row>
    <row r="1686">
      <c r="A1686" s="12" t="inlineStr">
        <is>
          <t>CGE-SWG: 13.8 kV switchgear container (engine breakers, site feeder)</t>
        </is>
      </c>
      <c r="B1686" s="12" t="inlineStr">
        <is>
          <t>CGE-SWG</t>
        </is>
      </c>
      <c r="C1686" s="12" t="inlineStr">
        <is>
          <t>I</t>
        </is>
      </c>
      <c r="D1686" s="12" t="inlineStr">
        <is>
          <t>CGE-1 13.8 kV generator leads to the switchgear container</t>
        </is>
      </c>
      <c r="E1686" s="12" t="n">
        <v>13800</v>
      </c>
      <c r="F1686" s="12" t="n">
        <v>4400</v>
      </c>
      <c r="G1686" s="12" t="n">
        <v>205</v>
      </c>
      <c r="H1686" s="12" t="inlineStr">
        <is>
          <t>CGE-1: containerized gas-engine generator ~4.4 MW, 13.8 kV (</t>
        </is>
      </c>
      <c r="I1686" s="12" t="inlineStr">
        <is>
          <t>MV 15 kV</t>
        </is>
      </c>
      <c r="J1686" s="12" t="inlineStr">
        <is>
          <t>4/0</t>
        </is>
      </c>
      <c r="K1686" s="12" t="n">
        <v>1</v>
      </c>
    </row>
    <row r="1687">
      <c r="A1687" s="12" t="inlineStr">
        <is>
          <t>CGE-SWG: 13.8 kV switchgear container (engine breakers, site feeder)</t>
        </is>
      </c>
      <c r="B1687" s="12" t="inlineStr">
        <is>
          <t>CGE-SWG</t>
        </is>
      </c>
      <c r="C1687" s="12" t="inlineStr">
        <is>
          <t>I</t>
        </is>
      </c>
      <c r="D1687" s="12" t="inlineStr">
        <is>
          <t>CGE-2 13.8 kV generator leads to the switchgear container</t>
        </is>
      </c>
      <c r="E1687" s="12" t="n">
        <v>13800</v>
      </c>
      <c r="F1687" s="12" t="n">
        <v>4400</v>
      </c>
      <c r="G1687" s="12" t="n">
        <v>205</v>
      </c>
      <c r="H1687" s="12" t="inlineStr">
        <is>
          <t>CGE-2: containerized gas-engine generator ~4.4 MW, 13.8 kV (</t>
        </is>
      </c>
      <c r="I1687" s="12" t="inlineStr">
        <is>
          <t>MV 15 kV</t>
        </is>
      </c>
      <c r="J1687" s="12" t="inlineStr">
        <is>
          <t>4/0</t>
        </is>
      </c>
      <c r="K1687" s="12" t="n">
        <v>1</v>
      </c>
    </row>
    <row r="1688">
      <c r="A1688" s="12" t="inlineStr">
        <is>
          <t>CGE-SWG: 13.8 kV switchgear container (engine breakers, site feeder)</t>
        </is>
      </c>
      <c r="B1688" s="12" t="inlineStr">
        <is>
          <t>CGE-SWG</t>
        </is>
      </c>
      <c r="C1688" s="12" t="inlineStr">
        <is>
          <t>I</t>
        </is>
      </c>
      <c r="D1688" s="12" t="inlineStr">
        <is>
          <t>CGE-3 13.8 kV generator leads to the switchgear container</t>
        </is>
      </c>
      <c r="E1688" s="12" t="n">
        <v>13800</v>
      </c>
      <c r="F1688" s="12" t="n">
        <v>4400</v>
      </c>
      <c r="G1688" s="12" t="n">
        <v>205</v>
      </c>
      <c r="H1688" s="12" t="inlineStr">
        <is>
          <t>CGE-3: containerized gas-engine generator ~4.4 MW, 13.8 kV (</t>
        </is>
      </c>
      <c r="I1688" s="12" t="inlineStr">
        <is>
          <t>MV 15 kV</t>
        </is>
      </c>
      <c r="J1688" s="12" t="inlineStr">
        <is>
          <t>4/0</t>
        </is>
      </c>
      <c r="K1688" s="12" t="n">
        <v>1</v>
      </c>
    </row>
    <row r="1689">
      <c r="A1689" s="12" t="inlineStr">
        <is>
          <t>CGE-SWG: 13.8 kV switchgear container (engine breakers, site feeder)</t>
        </is>
      </c>
      <c r="B1689" s="12" t="inlineStr">
        <is>
          <t>CGE-SWG</t>
        </is>
      </c>
      <c r="C1689" s="12" t="inlineStr">
        <is>
          <t>I</t>
        </is>
      </c>
      <c r="D1689" s="12" t="inlineStr">
        <is>
          <t>CGE-4 13.8 kV generator leads to the switchgear container</t>
        </is>
      </c>
      <c r="E1689" s="12" t="n">
        <v>13800</v>
      </c>
      <c r="F1689" s="12" t="n">
        <v>4400</v>
      </c>
      <c r="G1689" s="12" t="n">
        <v>205</v>
      </c>
      <c r="H1689" s="12" t="inlineStr">
        <is>
          <t>CGE-4: containerized gas-engine generator ~4.4 MW, 13.8 kV (</t>
        </is>
      </c>
      <c r="I1689" s="12" t="inlineStr">
        <is>
          <t>MV 15 kV</t>
        </is>
      </c>
      <c r="J1689" s="12" t="inlineStr">
        <is>
          <t>4/0</t>
        </is>
      </c>
      <c r="K1689" s="12" t="n">
        <v>1</v>
      </c>
    </row>
    <row r="1690">
      <c r="A1690" s="12" t="inlineStr">
        <is>
          <t>CHP-AUX: 13.8 / 0.48 kV, 750 kVA auxiliary pad-mount (engine auxiliari</t>
        </is>
      </c>
      <c r="B1690" s="12" t="inlineStr">
        <is>
          <t>CHP-AUX</t>
        </is>
      </c>
      <c r="C1690" s="12" t="inlineStr">
        <is>
          <t>I</t>
        </is>
      </c>
      <c r="D1690" s="12" t="inlineStr">
        <is>
          <t>CHP-AUX 13.8 kV primary</t>
        </is>
      </c>
      <c r="E1690" s="12" t="n">
        <v>13800</v>
      </c>
      <c r="F1690" s="12" t="n">
        <v>750</v>
      </c>
      <c r="G1690" s="12" t="n">
        <v>31</v>
      </c>
      <c r="H1690" s="12" t="inlineStr">
        <is>
          <t>CHP-SWG: 13.8 kV switchgear container (4 engine breakers, si</t>
        </is>
      </c>
      <c r="I1690" s="12" t="inlineStr">
        <is>
          <t>MV 15 kV</t>
        </is>
      </c>
      <c r="J1690" s="12" t="inlineStr">
        <is>
          <t>2</t>
        </is>
      </c>
      <c r="K1690" s="12" t="n">
        <v>1</v>
      </c>
    </row>
    <row r="1691">
      <c r="A1691" s="12" t="inlineStr">
        <is>
          <t>CHP-SWG: 13.8 kV switchgear container (4 engine breakers, site feeder)</t>
        </is>
      </c>
      <c r="B1691" s="12" t="inlineStr">
        <is>
          <t>CHP-SWG</t>
        </is>
      </c>
      <c r="C1691" s="12" t="inlineStr">
        <is>
          <t>I</t>
        </is>
      </c>
      <c r="D1691" s="12" t="inlineStr">
        <is>
          <t>CHP-1 13.8 kV generator leads to the switchgear container</t>
        </is>
      </c>
      <c r="E1691" s="12" t="n">
        <v>13800</v>
      </c>
      <c r="F1691" s="12" t="n">
        <v>2500</v>
      </c>
      <c r="G1691" s="12" t="n">
        <v>116</v>
      </c>
      <c r="H1691" s="12" t="inlineStr">
        <is>
          <t>CHP-1: gas-engine generator ~2.5 MW with exhaust heat recove</t>
        </is>
      </c>
      <c r="I1691" s="12" t="inlineStr">
        <is>
          <t>MV 15 kV</t>
        </is>
      </c>
      <c r="J1691" s="12" t="inlineStr">
        <is>
          <t>1/0</t>
        </is>
      </c>
      <c r="K1691" s="12" t="n">
        <v>1</v>
      </c>
    </row>
    <row r="1692">
      <c r="A1692" s="12" t="inlineStr">
        <is>
          <t>CHP-SWG: 13.8 kV switchgear container (4 engine breakers, site feeder)</t>
        </is>
      </c>
      <c r="B1692" s="12" t="inlineStr">
        <is>
          <t>CHP-SWG</t>
        </is>
      </c>
      <c r="C1692" s="12" t="inlineStr">
        <is>
          <t>I</t>
        </is>
      </c>
      <c r="D1692" s="12" t="inlineStr">
        <is>
          <t>CHP-2 13.8 kV generator leads to the switchgear container</t>
        </is>
      </c>
      <c r="E1692" s="12" t="n">
        <v>13800</v>
      </c>
      <c r="F1692" s="12" t="n">
        <v>2500</v>
      </c>
      <c r="G1692" s="12" t="n">
        <v>116</v>
      </c>
      <c r="H1692" s="12" t="inlineStr">
        <is>
          <t>CHP-2: gas-engine generator ~2.5 MW with exhaust heat recove</t>
        </is>
      </c>
      <c r="I1692" s="12" t="inlineStr">
        <is>
          <t>MV 15 kV</t>
        </is>
      </c>
      <c r="J1692" s="12" t="inlineStr">
        <is>
          <t>1/0</t>
        </is>
      </c>
      <c r="K1692" s="12" t="n">
        <v>1</v>
      </c>
    </row>
    <row r="1693">
      <c r="A1693" s="12" t="inlineStr">
        <is>
          <t>CHP-SWG: 13.8 kV switchgear container (4 engine breakers, site feeder)</t>
        </is>
      </c>
      <c r="B1693" s="12" t="inlineStr">
        <is>
          <t>CHP-SWG</t>
        </is>
      </c>
      <c r="C1693" s="12" t="inlineStr">
        <is>
          <t>I</t>
        </is>
      </c>
      <c r="D1693" s="12" t="inlineStr">
        <is>
          <t>CHP-3 13.8 kV generator leads to the switchgear container</t>
        </is>
      </c>
      <c r="E1693" s="12" t="n">
        <v>13800</v>
      </c>
      <c r="F1693" s="12" t="n">
        <v>2500</v>
      </c>
      <c r="G1693" s="12" t="n">
        <v>116</v>
      </c>
      <c r="H1693" s="12" t="inlineStr">
        <is>
          <t>CHP-3: gas-engine generator ~2.5 MW with exhaust heat recove</t>
        </is>
      </c>
      <c r="I1693" s="12" t="inlineStr">
        <is>
          <t>MV 15 kV</t>
        </is>
      </c>
      <c r="J1693" s="12" t="inlineStr">
        <is>
          <t>1/0</t>
        </is>
      </c>
      <c r="K1693" s="12" t="n">
        <v>1</v>
      </c>
    </row>
    <row r="1694">
      <c r="A1694" s="12" t="inlineStr">
        <is>
          <t>CHP-SWG: 13.8 kV switchgear container (4 engine breakers, site feeder)</t>
        </is>
      </c>
      <c r="B1694" s="12" t="inlineStr">
        <is>
          <t>CHP-SWG</t>
        </is>
      </c>
      <c r="C1694" s="12" t="inlineStr">
        <is>
          <t>I</t>
        </is>
      </c>
      <c r="D1694" s="12" t="inlineStr">
        <is>
          <t>CHP-4 13.8 kV generator leads to the switchgear container</t>
        </is>
      </c>
      <c r="E1694" s="12" t="n">
        <v>13800</v>
      </c>
      <c r="F1694" s="12" t="n">
        <v>2500</v>
      </c>
      <c r="G1694" s="12" t="n">
        <v>116</v>
      </c>
      <c r="H1694" s="12" t="inlineStr">
        <is>
          <t>CHP-4: gas-engine generator ~2.5 MW with exhaust heat recove</t>
        </is>
      </c>
      <c r="I1694" s="12" t="inlineStr">
        <is>
          <t>MV 15 kV</t>
        </is>
      </c>
      <c r="J1694" s="12" t="inlineStr">
        <is>
          <t>1/0</t>
        </is>
      </c>
      <c r="K1694" s="12" t="n">
        <v>1</v>
      </c>
    </row>
    <row r="1695">
      <c r="A1695" s="12" t="inlineStr">
        <is>
          <t>Fuel-gas compressors 3 x 100% electric</t>
        </is>
      </c>
      <c r="B1695" s="12" t="inlineStr"/>
      <c r="C1695" s="12" t="inlineStr">
        <is>
          <t>I</t>
        </is>
      </c>
      <c r="D1695" s="12" t="inlineStr">
        <is>
          <t>Modular-yard fuel-gas compressor</t>
        </is>
      </c>
      <c r="E1695" s="12" t="n">
        <v>13800</v>
      </c>
      <c r="F1695" s="12" t="n">
        <v>1500</v>
      </c>
      <c r="G1695" s="12" t="n">
        <v>70</v>
      </c>
      <c r="H1695" s="12" t="inlineStr">
        <is>
          <t xml:space="preserve">MOD-EH: 34.5 kV modular collector e-house (2 bus sections + </t>
        </is>
      </c>
      <c r="I1695" s="12" t="inlineStr">
        <is>
          <t>MV 15 kV</t>
        </is>
      </c>
      <c r="J1695" s="12" t="inlineStr">
        <is>
          <t>2</t>
        </is>
      </c>
      <c r="K1695" s="12" t="n">
        <v>1</v>
      </c>
    </row>
    <row r="1696">
      <c r="A1696" s="12" t="inlineStr">
        <is>
          <t>Fuel-gas compressors 3 x 100% electric</t>
        </is>
      </c>
      <c r="B1696" s="12" t="inlineStr"/>
      <c r="C1696" s="12" t="inlineStr">
        <is>
          <t>I</t>
        </is>
      </c>
      <c r="D1696" s="12" t="inlineStr">
        <is>
          <t>Modular-yard fuel-gas compressor</t>
        </is>
      </c>
      <c r="E1696" s="12" t="n">
        <v>13800</v>
      </c>
      <c r="F1696" s="12" t="n">
        <v>1500</v>
      </c>
      <c r="G1696" s="12" t="n">
        <v>70</v>
      </c>
      <c r="H1696" s="12" t="inlineStr">
        <is>
          <t xml:space="preserve">MOD-EH: 34.5 kV modular collector e-house (2 bus sections + </t>
        </is>
      </c>
      <c r="I1696" s="12" t="inlineStr">
        <is>
          <t>MV 15 kV</t>
        </is>
      </c>
      <c r="J1696" s="12" t="inlineStr">
        <is>
          <t>2</t>
        </is>
      </c>
      <c r="K1696" s="12" t="n">
        <v>1</v>
      </c>
    </row>
    <row r="1697">
      <c r="A1697" s="12" t="inlineStr">
        <is>
          <t>Fuel-gas compressors 3 x 100% electric</t>
        </is>
      </c>
      <c r="B1697" s="12" t="inlineStr"/>
      <c r="C1697" s="12" t="inlineStr">
        <is>
          <t>I</t>
        </is>
      </c>
      <c r="D1697" s="12" t="inlineStr">
        <is>
          <t>Modular-yard fuel-gas compressor</t>
        </is>
      </c>
      <c r="E1697" s="12" t="n">
        <v>13800</v>
      </c>
      <c r="F1697" s="12" t="n">
        <v>1500</v>
      </c>
      <c r="G1697" s="12" t="n">
        <v>70</v>
      </c>
      <c r="H1697" s="12" t="inlineStr">
        <is>
          <t xml:space="preserve">MOD-EH: 34.5 kV modular collector e-house (2 bus sections + </t>
        </is>
      </c>
      <c r="I1697" s="12" t="inlineStr">
        <is>
          <t>MV 15 kV</t>
        </is>
      </c>
      <c r="J1697" s="12" t="inlineStr">
        <is>
          <t>2</t>
        </is>
      </c>
      <c r="K1697" s="12" t="n">
        <v>1</v>
      </c>
    </row>
    <row r="1698">
      <c r="A1698" s="12" t="inlineStr">
        <is>
          <t>IG-GSU: 13.8 / 34.5 kV step-up, ~60 MVA (IG-1 unit step-up)</t>
        </is>
      </c>
      <c r="B1698" s="12" t="inlineStr">
        <is>
          <t>IG-GSU</t>
        </is>
      </c>
      <c r="C1698" s="12" t="inlineStr">
        <is>
          <t>I</t>
        </is>
      </c>
      <c r="D1698" s="12" t="inlineStr">
        <is>
          <t>IG-1 13.8 kV generator leads to IG-GSU</t>
        </is>
      </c>
      <c r="E1698" s="12" t="n">
        <v>13800</v>
      </c>
      <c r="F1698" s="12" t="n">
        <v>50000</v>
      </c>
      <c r="G1698" s="12" t="n">
        <v>2324</v>
      </c>
      <c r="H1698" s="12" t="inlineStr">
        <is>
          <t>IG-1: industrial gas-turbine installation, ~50 MW class (~50</t>
        </is>
      </c>
      <c r="I1698" s="12" t="inlineStr">
        <is>
          <t>MV 15 kV</t>
        </is>
      </c>
      <c r="J1698" s="12" t="inlineStr">
        <is>
          <t>1000 kcmil</t>
        </is>
      </c>
      <c r="K1698" s="12" t="n">
        <v>5</v>
      </c>
    </row>
    <row r="1699">
      <c r="A1699" s="12" t="inlineStr">
        <is>
          <t>MOD-EH: 34.5 kV modular collector e-house (2 bus sections + 13.8 kV st</t>
        </is>
      </c>
      <c r="B1699" s="12" t="inlineStr">
        <is>
          <t>MOD-EH</t>
        </is>
      </c>
      <c r="C1699" s="12" t="inlineStr">
        <is>
          <t>I</t>
        </is>
      </c>
      <c r="D1699" s="12" t="inlineStr">
        <is>
          <t>MOD-SST 13.8 kV secondary to the MOD-EH station-service section</t>
        </is>
      </c>
      <c r="E1699" s="12" t="n">
        <v>13800</v>
      </c>
      <c r="F1699" s="12" t="n">
        <v>9000</v>
      </c>
      <c r="G1699" s="12" t="n">
        <v>418</v>
      </c>
      <c r="H1699" s="12" t="inlineStr">
        <is>
          <t>MOD-SST: 34.5 / 13.8 kV station-service transformer, ~10 MVA</t>
        </is>
      </c>
      <c r="I1699" s="12" t="inlineStr">
        <is>
          <t>MV 15 kV</t>
        </is>
      </c>
      <c r="J1699" s="12" t="inlineStr">
        <is>
          <t>750 kcmil</t>
        </is>
      </c>
      <c r="K1699" s="12" t="n">
        <v>1</v>
      </c>
    </row>
    <row r="1700">
      <c r="A1700" s="12" t="inlineStr">
        <is>
          <t>MOD-LV 480 V board + 480 V : 13.8 kV step-up</t>
        </is>
      </c>
      <c r="B1700" s="12" t="inlineStr"/>
      <c r="C1700" s="12" t="inlineStr">
        <is>
          <t>I</t>
        </is>
      </c>
      <c r="D1700" s="12" t="inlineStr">
        <is>
          <t>MOD-LV supply from the MOD-EH 13.8 kV station-service section</t>
        </is>
      </c>
      <c r="E1700" s="12" t="n">
        <v>13800</v>
      </c>
      <c r="F1700" s="12" t="n">
        <v>3000</v>
      </c>
      <c r="G1700" s="12" t="n">
        <v>126</v>
      </c>
      <c r="H1700" s="12" t="inlineStr">
        <is>
          <t xml:space="preserve">MOD-EH: 34.5 kV modular collector e-house (2 bus sections + </t>
        </is>
      </c>
      <c r="I1700" s="12" t="inlineStr">
        <is>
          <t>MV 15 kV</t>
        </is>
      </c>
      <c r="J1700" s="12" t="inlineStr">
        <is>
          <t>1/0</t>
        </is>
      </c>
      <c r="K1700" s="12" t="n">
        <v>1</v>
      </c>
    </row>
    <row r="1701">
      <c r="A1701" s="12" t="inlineStr">
        <is>
          <t>MTG-AUX: 13.8 / 0.48 kV auxiliary transformer</t>
        </is>
      </c>
      <c r="B1701" s="12" t="inlineStr">
        <is>
          <t>MTG-AUX</t>
        </is>
      </c>
      <c r="C1701" s="12" t="inlineStr">
        <is>
          <t>I</t>
        </is>
      </c>
      <c r="D1701" s="12" t="inlineStr">
        <is>
          <t>MTG-AUX 13.8 kV primary</t>
        </is>
      </c>
      <c r="E1701" s="12" t="n">
        <v>13800</v>
      </c>
      <c r="F1701" s="12" t="n">
        <v>750</v>
      </c>
      <c r="G1701" s="12" t="n">
        <v>31</v>
      </c>
      <c r="H1701" s="12" t="inlineStr">
        <is>
          <t>MTG-SWG: 13.8 kV switchgear e-house (2 generator breakers, s</t>
        </is>
      </c>
      <c r="I1701" s="12" t="inlineStr">
        <is>
          <t>MV 15 kV</t>
        </is>
      </c>
      <c r="J1701" s="12" t="inlineStr">
        <is>
          <t>2</t>
        </is>
      </c>
      <c r="K1701" s="12" t="n">
        <v>1</v>
      </c>
    </row>
    <row r="1702">
      <c r="A1702" s="12" t="inlineStr">
        <is>
          <t>MTG-GSU: 13.8 / 34.5 kV step-up, ~40 MVA (mid-size turbines)</t>
        </is>
      </c>
      <c r="B1702" s="12" t="inlineStr">
        <is>
          <t>MTG-GSU</t>
        </is>
      </c>
      <c r="C1702" s="12" t="inlineStr">
        <is>
          <t>I</t>
        </is>
      </c>
      <c r="D1702" s="12" t="inlineStr">
        <is>
          <t>MTG-SWG 13.8 kV to MTG-GSU</t>
        </is>
      </c>
      <c r="E1702" s="12" t="n">
        <v>13800</v>
      </c>
      <c r="F1702" s="12" t="n">
        <v>32000</v>
      </c>
      <c r="G1702" s="12" t="n">
        <v>1488</v>
      </c>
      <c r="H1702" s="12" t="inlineStr">
        <is>
          <t>MTG-SWG: 13.8 kV switchgear e-house (2 generator breakers, s</t>
        </is>
      </c>
      <c r="I1702" s="12" t="inlineStr">
        <is>
          <t>MV 15 kV</t>
        </is>
      </c>
      <c r="J1702" s="12" t="inlineStr">
        <is>
          <t>1000 kcmil</t>
        </is>
      </c>
      <c r="K1702" s="12" t="n">
        <v>3</v>
      </c>
    </row>
    <row r="1703">
      <c r="A1703" s="12" t="inlineStr">
        <is>
          <t>MTG-SWG: 13.8 kV switchgear e-house (2 generator breakers, site feeder</t>
        </is>
      </c>
      <c r="B1703" s="12" t="inlineStr">
        <is>
          <t>MTG-SWG</t>
        </is>
      </c>
      <c r="C1703" s="12" t="inlineStr">
        <is>
          <t>I</t>
        </is>
      </c>
      <c r="D1703" s="12" t="inlineStr">
        <is>
          <t>MTG-1 13.8 kV generator leads to the switchgear e-house</t>
        </is>
      </c>
      <c r="E1703" s="12" t="n">
        <v>13800</v>
      </c>
      <c r="F1703" s="12" t="n">
        <v>16000</v>
      </c>
      <c r="G1703" s="12" t="n">
        <v>744</v>
      </c>
      <c r="H1703" s="12" t="inlineStr">
        <is>
          <t>MTG-1: mid-size industrial gas-turbine generator package ~16</t>
        </is>
      </c>
      <c r="I1703" s="12" t="inlineStr">
        <is>
          <t>MV 15 kV</t>
        </is>
      </c>
      <c r="J1703" s="12" t="inlineStr">
        <is>
          <t>750 kcmil</t>
        </is>
      </c>
      <c r="K1703" s="12" t="n">
        <v>2</v>
      </c>
    </row>
    <row r="1704">
      <c r="A1704" s="12" t="inlineStr">
        <is>
          <t>MTG-SWG: 13.8 kV switchgear e-house (2 generator breakers, site feeder</t>
        </is>
      </c>
      <c r="B1704" s="12" t="inlineStr">
        <is>
          <t>MTG-SWG</t>
        </is>
      </c>
      <c r="C1704" s="12" t="inlineStr">
        <is>
          <t>I</t>
        </is>
      </c>
      <c r="D1704" s="12" t="inlineStr">
        <is>
          <t>MTG-2 13.8 kV generator leads to the switchgear e-house</t>
        </is>
      </c>
      <c r="E1704" s="12" t="n">
        <v>13800</v>
      </c>
      <c r="F1704" s="12" t="n">
        <v>16000</v>
      </c>
      <c r="G1704" s="12" t="n">
        <v>744</v>
      </c>
      <c r="H1704" s="12" t="inlineStr">
        <is>
          <t>MTG-2: mid-size industrial gas-turbine generator package ~16</t>
        </is>
      </c>
      <c r="I1704" s="12" t="inlineStr">
        <is>
          <t>MV 15 kV</t>
        </is>
      </c>
      <c r="J1704" s="12" t="inlineStr">
        <is>
          <t>750 kcmil</t>
        </is>
      </c>
      <c r="K1704" s="12" t="n">
        <v>2</v>
      </c>
    </row>
    <row r="1705">
      <c r="A1705" s="12" t="inlineStr">
        <is>
          <t>PAD-EH 13.8 kV switchgear e-house</t>
        </is>
      </c>
      <c r="B1705" s="12" t="inlineStr">
        <is>
          <t>PAD-EH</t>
        </is>
      </c>
      <c r="C1705" s="12" t="inlineStr">
        <is>
          <t>I</t>
        </is>
      </c>
      <c r="D1705" s="12" t="inlineStr">
        <is>
          <t>TM-1 (trailer GT) generator leads to PAD-EH</t>
        </is>
      </c>
      <c r="E1705" s="12" t="n">
        <v>13800</v>
      </c>
      <c r="F1705" s="12" t="n">
        <v>35000</v>
      </c>
      <c r="G1705" s="12" t="n">
        <v>1464</v>
      </c>
      <c r="H1705" s="12" t="inlineStr">
        <is>
          <t>TM-1: trailer-mounted aeroderivative GT (~35 MW)</t>
        </is>
      </c>
      <c r="I1705" s="12" t="inlineStr">
        <is>
          <t>MV 15 kV</t>
        </is>
      </c>
      <c r="J1705" s="12" t="inlineStr">
        <is>
          <t>1000 kcmil</t>
        </is>
      </c>
      <c r="K1705" s="12" t="n">
        <v>3</v>
      </c>
    </row>
    <row r="1706">
      <c r="A1706" s="12" t="inlineStr">
        <is>
          <t>PAD-EH 13.8 kV switchgear e-house</t>
        </is>
      </c>
      <c r="B1706" s="12" t="inlineStr">
        <is>
          <t>PAD-EH</t>
        </is>
      </c>
      <c r="C1706" s="12" t="inlineStr">
        <is>
          <t>I</t>
        </is>
      </c>
      <c r="D1706" s="12" t="inlineStr">
        <is>
          <t>CHP-SWG 13.8 kV site feeder to PAD-EH</t>
        </is>
      </c>
      <c r="E1706" s="12" t="n">
        <v>13800</v>
      </c>
      <c r="F1706" s="12" t="n">
        <v>10000</v>
      </c>
      <c r="G1706" s="12" t="n">
        <v>465</v>
      </c>
      <c r="H1706" s="12" t="inlineStr">
        <is>
          <t>CHP-SWG: 13.8 kV switchgear container (4 engine breakers, si</t>
        </is>
      </c>
      <c r="I1706" s="12" t="inlineStr">
        <is>
          <t>MV 15 kV</t>
        </is>
      </c>
      <c r="J1706" s="12" t="inlineStr">
        <is>
          <t>1000 kcmil</t>
        </is>
      </c>
      <c r="K1706" s="12" t="n">
        <v>1</v>
      </c>
    </row>
    <row r="1707">
      <c r="A1707" s="12" t="inlineStr">
        <is>
          <t>PAD-EH 13.8 kV switchgear e-house</t>
        </is>
      </c>
      <c r="B1707" s="12" t="inlineStr">
        <is>
          <t>PAD-EH</t>
        </is>
      </c>
      <c r="C1707" s="12" t="inlineStr">
        <is>
          <t>I</t>
        </is>
      </c>
      <c r="D1707" s="12" t="inlineStr">
        <is>
          <t>MT-TX 13.8 kV to PAD-EH</t>
        </is>
      </c>
      <c r="E1707" s="12" t="n">
        <v>13800</v>
      </c>
      <c r="F1707" s="12" t="n">
        <v>3000</v>
      </c>
      <c r="G1707" s="12" t="n">
        <v>139</v>
      </c>
      <c r="H1707" s="12" t="inlineStr">
        <is>
          <t>MT-TX: 480 V : 13.8 kV, ~3.75 MVA pad-mount (microturbine si</t>
        </is>
      </c>
      <c r="I1707" s="12" t="inlineStr">
        <is>
          <t>MV 15 kV</t>
        </is>
      </c>
      <c r="J1707" s="12" t="inlineStr">
        <is>
          <t>1/0</t>
        </is>
      </c>
      <c r="K1707" s="12" t="n">
        <v>1</v>
      </c>
    </row>
    <row r="1708">
      <c r="A1708" s="12" t="inlineStr">
        <is>
          <t>PAD-GSU: 13.8 / 34.5 kV step-up, ~60 MVA (PAD-EH: TM-1, CHP site, MT-T</t>
        </is>
      </c>
      <c r="B1708" s="12" t="inlineStr">
        <is>
          <t>PAD-GSU</t>
        </is>
      </c>
      <c r="C1708" s="12" t="inlineStr">
        <is>
          <t>I</t>
        </is>
      </c>
      <c r="D1708" s="12" t="inlineStr">
        <is>
          <t>PAD-EH 13.8 kV to PAD-GSU</t>
        </is>
      </c>
      <c r="E1708" s="12" t="n">
        <v>13800</v>
      </c>
      <c r="F1708" s="12" t="n">
        <v>52000</v>
      </c>
      <c r="G1708" s="12" t="n">
        <v>2417</v>
      </c>
      <c r="H1708" s="12" t="inlineStr">
        <is>
          <t>PAD-EH 13.8 kV switchgear e-house</t>
        </is>
      </c>
      <c r="I1708" s="12" t="inlineStr">
        <is>
          <t>MV 15 kV</t>
        </is>
      </c>
      <c r="J1708" s="12" t="inlineStr">
        <is>
          <t>1000 kcmil</t>
        </is>
      </c>
      <c r="K1708" s="12" t="n">
        <v>5</v>
      </c>
    </row>
    <row r="1709">
      <c r="A1709" s="12" t="inlineStr">
        <is>
          <t>PCM: power control module</t>
        </is>
      </c>
      <c r="B1709" s="12" t="inlineStr"/>
      <c r="C1709" s="12" t="inlineStr">
        <is>
          <t>I</t>
        </is>
      </c>
      <c r="D1709" s="12" t="inlineStr">
        <is>
          <t>RICE-1 generator leads to the PCM</t>
        </is>
      </c>
      <c r="E1709" s="12" t="n">
        <v>13800</v>
      </c>
      <c r="F1709" s="12" t="n">
        <v>18400</v>
      </c>
      <c r="G1709" s="12" t="n">
        <v>855</v>
      </c>
      <c r="H1709" s="12" t="inlineStr">
        <is>
          <t>RICE engine-generator 1</t>
        </is>
      </c>
      <c r="I1709" s="12" t="inlineStr">
        <is>
          <t>MV 15 kV</t>
        </is>
      </c>
      <c r="J1709" s="12" t="inlineStr">
        <is>
          <t>750 kcmil</t>
        </is>
      </c>
      <c r="K1709" s="12" t="n">
        <v>2</v>
      </c>
    </row>
    <row r="1710">
      <c r="A1710" s="12" t="inlineStr">
        <is>
          <t>PCM: power control module</t>
        </is>
      </c>
      <c r="B1710" s="12" t="inlineStr"/>
      <c r="C1710" s="12" t="inlineStr">
        <is>
          <t>I</t>
        </is>
      </c>
      <c r="D1710" s="12" t="inlineStr">
        <is>
          <t>RICE-2 generator leads to the PCM</t>
        </is>
      </c>
      <c r="E1710" s="12" t="n">
        <v>13800</v>
      </c>
      <c r="F1710" s="12" t="n">
        <v>18400</v>
      </c>
      <c r="G1710" s="12" t="n">
        <v>855</v>
      </c>
      <c r="H1710" s="12" t="inlineStr">
        <is>
          <t>RICE engine-generator 2</t>
        </is>
      </c>
      <c r="I1710" s="12" t="inlineStr">
        <is>
          <t>MV 15 kV</t>
        </is>
      </c>
      <c r="J1710" s="12" t="inlineStr">
        <is>
          <t>750 kcmil</t>
        </is>
      </c>
      <c r="K1710" s="12" t="n">
        <v>2</v>
      </c>
    </row>
    <row r="1711">
      <c r="A1711" s="12" t="inlineStr">
        <is>
          <t>PCM: power control module</t>
        </is>
      </c>
      <c r="B1711" s="12" t="inlineStr"/>
      <c r="C1711" s="12" t="inlineStr">
        <is>
          <t>I</t>
        </is>
      </c>
      <c r="D1711" s="12" t="inlineStr">
        <is>
          <t>RICE-3 generator leads to the PCM</t>
        </is>
      </c>
      <c r="E1711" s="12" t="n">
        <v>13800</v>
      </c>
      <c r="F1711" s="12" t="n">
        <v>18400</v>
      </c>
      <c r="G1711" s="12" t="n">
        <v>855</v>
      </c>
      <c r="H1711" s="12" t="inlineStr">
        <is>
          <t>RICE engine-generator 3</t>
        </is>
      </c>
      <c r="I1711" s="12" t="inlineStr">
        <is>
          <t>MV 15 kV</t>
        </is>
      </c>
      <c r="J1711" s="12" t="inlineStr">
        <is>
          <t>750 kcmil</t>
        </is>
      </c>
      <c r="K1711" s="12" t="n">
        <v>2</v>
      </c>
    </row>
    <row r="1712">
      <c r="A1712" s="12" t="inlineStr">
        <is>
          <t>PCM: power control module</t>
        </is>
      </c>
      <c r="B1712" s="12" t="inlineStr"/>
      <c r="C1712" s="12" t="inlineStr">
        <is>
          <t>I</t>
        </is>
      </c>
      <c r="D1712" s="12" t="inlineStr">
        <is>
          <t>RICE-4 generator leads to the PCM</t>
        </is>
      </c>
      <c r="E1712" s="12" t="n">
        <v>13800</v>
      </c>
      <c r="F1712" s="12" t="n">
        <v>18400</v>
      </c>
      <c r="G1712" s="12" t="n">
        <v>855</v>
      </c>
      <c r="H1712" s="12" t="inlineStr">
        <is>
          <t>RICE engine-generator 4</t>
        </is>
      </c>
      <c r="I1712" s="12" t="inlineStr">
        <is>
          <t>MV 15 kV</t>
        </is>
      </c>
      <c r="J1712" s="12" t="inlineStr">
        <is>
          <t>750 kcmil</t>
        </is>
      </c>
      <c r="K1712" s="12" t="n">
        <v>2</v>
      </c>
    </row>
    <row r="1713">
      <c r="A1713" s="12" t="inlineStr">
        <is>
          <t>PCM: power control module</t>
        </is>
      </c>
      <c r="B1713" s="12" t="inlineStr"/>
      <c r="C1713" s="12" t="inlineStr">
        <is>
          <t>I</t>
        </is>
      </c>
      <c r="D1713" s="12" t="inlineStr">
        <is>
          <t>RICE-5 generator leads to the PCM</t>
        </is>
      </c>
      <c r="E1713" s="12" t="n">
        <v>13800</v>
      </c>
      <c r="F1713" s="12" t="n">
        <v>18400</v>
      </c>
      <c r="G1713" s="12" t="n">
        <v>855</v>
      </c>
      <c r="H1713" s="12" t="inlineStr">
        <is>
          <t>RICE engine-generator 5</t>
        </is>
      </c>
      <c r="I1713" s="12" t="inlineStr">
        <is>
          <t>MV 15 kV</t>
        </is>
      </c>
      <c r="J1713" s="12" t="inlineStr">
        <is>
          <t>750 kcmil</t>
        </is>
      </c>
      <c r="K1713" s="12" t="n">
        <v>2</v>
      </c>
    </row>
    <row r="1714">
      <c r="A1714" s="12" t="inlineStr">
        <is>
          <t>PCM: power control module</t>
        </is>
      </c>
      <c r="B1714" s="12" t="inlineStr"/>
      <c r="C1714" s="12" t="inlineStr">
        <is>
          <t>I</t>
        </is>
      </c>
      <c r="D1714" s="12" t="inlineStr">
        <is>
          <t>RICE-6 generator leads to the PCM</t>
        </is>
      </c>
      <c r="E1714" s="12" t="n">
        <v>13800</v>
      </c>
      <c r="F1714" s="12" t="n">
        <v>18400</v>
      </c>
      <c r="G1714" s="12" t="n">
        <v>855</v>
      </c>
      <c r="H1714" s="12" t="inlineStr">
        <is>
          <t>RICE engine-generator 6</t>
        </is>
      </c>
      <c r="I1714" s="12" t="inlineStr">
        <is>
          <t>MV 15 kV</t>
        </is>
      </c>
      <c r="J1714" s="12" t="inlineStr">
        <is>
          <t>750 kcmil</t>
        </is>
      </c>
      <c r="K1714" s="12" t="n">
        <v>2</v>
      </c>
    </row>
    <row r="1715">
      <c r="A1715" s="12" t="inlineStr">
        <is>
          <t>PCM: power control module</t>
        </is>
      </c>
      <c r="B1715" s="12" t="inlineStr"/>
      <c r="C1715" s="12" t="inlineStr">
        <is>
          <t>I</t>
        </is>
      </c>
      <c r="D1715" s="12" t="inlineStr">
        <is>
          <t>RICE-7 generator leads to the PCM</t>
        </is>
      </c>
      <c r="E1715" s="12" t="n">
        <v>13800</v>
      </c>
      <c r="F1715" s="12" t="n">
        <v>18400</v>
      </c>
      <c r="G1715" s="12" t="n">
        <v>855</v>
      </c>
      <c r="H1715" s="12" t="inlineStr">
        <is>
          <t>RICE engine-generator 7</t>
        </is>
      </c>
      <c r="I1715" s="12" t="inlineStr">
        <is>
          <t>MV 15 kV</t>
        </is>
      </c>
      <c r="J1715" s="12" t="inlineStr">
        <is>
          <t>750 kcmil</t>
        </is>
      </c>
      <c r="K1715" s="12" t="n">
        <v>2</v>
      </c>
    </row>
    <row r="1716">
      <c r="A1716" s="12" t="inlineStr">
        <is>
          <t>PCM: power control module</t>
        </is>
      </c>
      <c r="B1716" s="12" t="inlineStr"/>
      <c r="C1716" s="12" t="inlineStr">
        <is>
          <t>I</t>
        </is>
      </c>
      <c r="D1716" s="12" t="inlineStr">
        <is>
          <t>RICE-8 generator leads to the PCM</t>
        </is>
      </c>
      <c r="E1716" s="12" t="n">
        <v>13800</v>
      </c>
      <c r="F1716" s="12" t="n">
        <v>18400</v>
      </c>
      <c r="G1716" s="12" t="n">
        <v>855</v>
      </c>
      <c r="H1716" s="12" t="inlineStr">
        <is>
          <t>RICE engine-generator 8</t>
        </is>
      </c>
      <c r="I1716" s="12" t="inlineStr">
        <is>
          <t>MV 15 kV</t>
        </is>
      </c>
      <c r="J1716" s="12" t="inlineStr">
        <is>
          <t>750 kcmil</t>
        </is>
      </c>
      <c r="K1716" s="12" t="n">
        <v>2</v>
      </c>
    </row>
    <row r="1717">
      <c r="A1717" s="12" t="inlineStr">
        <is>
          <t>RICE-GSU-A: 13.8 / 34.5 kV group step-up, ~45 MVA (RICE 1-2)</t>
        </is>
      </c>
      <c r="B1717" s="12" t="inlineStr">
        <is>
          <t>RICE-GSU-A</t>
        </is>
      </c>
      <c r="C1717" s="12" t="inlineStr">
        <is>
          <t>I</t>
        </is>
      </c>
      <c r="D1717" s="12" t="inlineStr">
        <is>
          <t>PCM section A (RICE 1-2) to RICE-GSU-A</t>
        </is>
      </c>
      <c r="E1717" s="12" t="n">
        <v>13800</v>
      </c>
      <c r="F1717" s="12" t="n">
        <v>36800</v>
      </c>
      <c r="G1717" s="12" t="n">
        <v>1711</v>
      </c>
      <c r="H1717" s="12" t="inlineStr">
        <is>
          <t>PCM: power control module</t>
        </is>
      </c>
      <c r="I1717" s="12" t="inlineStr">
        <is>
          <t>MV 15 kV</t>
        </is>
      </c>
      <c r="J1717" s="12" t="inlineStr">
        <is>
          <t>750 kcmil</t>
        </is>
      </c>
      <c r="K1717" s="12" t="n">
        <v>4</v>
      </c>
    </row>
    <row r="1718">
      <c r="A1718" s="12" t="inlineStr">
        <is>
          <t>RICE-GSU-B: 13.8 / 34.5 kV group step-up, ~45 MVA (RICE 3-4)</t>
        </is>
      </c>
      <c r="B1718" s="12" t="inlineStr">
        <is>
          <t>RICE-GSU-B</t>
        </is>
      </c>
      <c r="C1718" s="12" t="inlineStr">
        <is>
          <t>I</t>
        </is>
      </c>
      <c r="D1718" s="12" t="inlineStr">
        <is>
          <t>PCM section B (RICE 3-4) to RICE-GSU-B</t>
        </is>
      </c>
      <c r="E1718" s="12" t="n">
        <v>13800</v>
      </c>
      <c r="F1718" s="12" t="n">
        <v>36800</v>
      </c>
      <c r="G1718" s="12" t="n">
        <v>1711</v>
      </c>
      <c r="H1718" s="12" t="inlineStr">
        <is>
          <t>PCM: power control module</t>
        </is>
      </c>
      <c r="I1718" s="12" t="inlineStr">
        <is>
          <t>MV 15 kV</t>
        </is>
      </c>
      <c r="J1718" s="12" t="inlineStr">
        <is>
          <t>750 kcmil</t>
        </is>
      </c>
      <c r="K1718" s="12" t="n">
        <v>4</v>
      </c>
    </row>
    <row r="1719">
      <c r="A1719" s="12" t="inlineStr">
        <is>
          <t>RICE-GSU-C: 13.8 / 34.5 kV group step-up, ~45 MVA (RICE 5-6)</t>
        </is>
      </c>
      <c r="B1719" s="12" t="inlineStr">
        <is>
          <t>RICE-GSU-C</t>
        </is>
      </c>
      <c r="C1719" s="12" t="inlineStr">
        <is>
          <t>I</t>
        </is>
      </c>
      <c r="D1719" s="12" t="inlineStr">
        <is>
          <t>PCM section C (RICE 5-6) to RICE-GSU-C</t>
        </is>
      </c>
      <c r="E1719" s="12" t="n">
        <v>13800</v>
      </c>
      <c r="F1719" s="12" t="n">
        <v>36800</v>
      </c>
      <c r="G1719" s="12" t="n">
        <v>1711</v>
      </c>
      <c r="H1719" s="12" t="inlineStr">
        <is>
          <t>PCM: power control module</t>
        </is>
      </c>
      <c r="I1719" s="12" t="inlineStr">
        <is>
          <t>MV 15 kV</t>
        </is>
      </c>
      <c r="J1719" s="12" t="inlineStr">
        <is>
          <t>750 kcmil</t>
        </is>
      </c>
      <c r="K1719" s="12" t="n">
        <v>4</v>
      </c>
    </row>
    <row r="1720">
      <c r="A1720" s="12" t="inlineStr">
        <is>
          <t>RICE-GSU-D: 13.8 / 34.5 kV group step-up, ~45 MVA (RICE 7-8)</t>
        </is>
      </c>
      <c r="B1720" s="12" t="inlineStr">
        <is>
          <t>RICE-GSU-D</t>
        </is>
      </c>
      <c r="C1720" s="12" t="inlineStr">
        <is>
          <t>I</t>
        </is>
      </c>
      <c r="D1720" s="12" t="inlineStr">
        <is>
          <t>PCM section D (RICE 7-8) to RICE-GSU-D</t>
        </is>
      </c>
      <c r="E1720" s="12" t="n">
        <v>13800</v>
      </c>
      <c r="F1720" s="12" t="n">
        <v>36800</v>
      </c>
      <c r="G1720" s="12" t="n">
        <v>1711</v>
      </c>
      <c r="H1720" s="12" t="inlineStr">
        <is>
          <t>PCM: power control module</t>
        </is>
      </c>
      <c r="I1720" s="12" t="inlineStr">
        <is>
          <t>MV 15 kV</t>
        </is>
      </c>
      <c r="J1720" s="12" t="inlineStr">
        <is>
          <t>750 kcmil</t>
        </is>
      </c>
      <c r="K1720" s="12" t="n">
        <v>4</v>
      </c>
    </row>
    <row r="1721">
      <c r="A1721" s="12" t="inlineStr">
        <is>
          <t>SC-1 PCM + 15 kV GCB</t>
        </is>
      </c>
      <c r="B1721" s="12" t="inlineStr"/>
      <c r="C1721" s="12" t="inlineStr">
        <is>
          <t>I</t>
        </is>
      </c>
      <c r="D1721" s="12" t="inlineStr">
        <is>
          <t>SC-1 (50 MW class) generator leads to its PCM / GCB</t>
        </is>
      </c>
      <c r="E1721" s="12" t="n">
        <v>13800</v>
      </c>
      <c r="F1721" s="12" t="n">
        <v>50000</v>
      </c>
      <c r="G1721" s="12" t="n">
        <v>2324</v>
      </c>
      <c r="H1721" s="12" t="inlineStr">
        <is>
          <t>SC-1: aeroderivative simple-cycle unit (50 MW class)</t>
        </is>
      </c>
      <c r="I1721" s="12" t="inlineStr">
        <is>
          <t>MV 15 kV</t>
        </is>
      </c>
      <c r="J1721" s="12" t="inlineStr">
        <is>
          <t>1000 kcmil</t>
        </is>
      </c>
      <c r="K1721" s="12" t="n">
        <v>5</v>
      </c>
    </row>
    <row r="1722">
      <c r="A1722" s="12" t="inlineStr">
        <is>
          <t>SC-1 PCM + 15 kV GCB</t>
        </is>
      </c>
      <c r="B1722" s="12" t="inlineStr"/>
      <c r="C1722" s="12" t="inlineStr">
        <is>
          <t>I</t>
        </is>
      </c>
      <c r="D1722" s="12" t="inlineStr">
        <is>
          <t>SC-1 PCM auxiliary transformer primary, 2 MVA 13.8 kV / 480 V (from the GCB bus)</t>
        </is>
      </c>
      <c r="E1722" s="12" t="n">
        <v>13800</v>
      </c>
      <c r="F1722" s="12" t="n">
        <v>2000</v>
      </c>
      <c r="G1722" s="12" t="n">
        <v>84</v>
      </c>
      <c r="H1722" s="12" t="inlineStr">
        <is>
          <t>SC-1 PCM + 15 kV GCB</t>
        </is>
      </c>
      <c r="I1722" s="12" t="inlineStr">
        <is>
          <t>MV 15 kV</t>
        </is>
      </c>
      <c r="J1722" s="12" t="inlineStr">
        <is>
          <t>2</t>
        </is>
      </c>
      <c r="K1722" s="12" t="n">
        <v>1</v>
      </c>
    </row>
    <row r="1723">
      <c r="A1723" s="12" t="inlineStr">
        <is>
          <t>SC-2 PCM + 15 kV GCB</t>
        </is>
      </c>
      <c r="B1723" s="12" t="inlineStr"/>
      <c r="C1723" s="12" t="inlineStr">
        <is>
          <t>I</t>
        </is>
      </c>
      <c r="D1723" s="12" t="inlineStr">
        <is>
          <t>SC-2 (50 MW class) generator leads to its PCM / GCB</t>
        </is>
      </c>
      <c r="E1723" s="12" t="n">
        <v>13800</v>
      </c>
      <c r="F1723" s="12" t="n">
        <v>50000</v>
      </c>
      <c r="G1723" s="12" t="n">
        <v>2324</v>
      </c>
      <c r="H1723" s="12" t="inlineStr">
        <is>
          <t>SC-2: aeroderivative simple-cycle unit (50 MW class)</t>
        </is>
      </c>
      <c r="I1723" s="12" t="inlineStr">
        <is>
          <t>MV 15 kV</t>
        </is>
      </c>
      <c r="J1723" s="12" t="inlineStr">
        <is>
          <t>1000 kcmil</t>
        </is>
      </c>
      <c r="K1723" s="12" t="n">
        <v>5</v>
      </c>
    </row>
    <row r="1724">
      <c r="A1724" s="12" t="inlineStr">
        <is>
          <t>SC-2 PCM + 15 kV GCB</t>
        </is>
      </c>
      <c r="B1724" s="12" t="inlineStr"/>
      <c r="C1724" s="12" t="inlineStr">
        <is>
          <t>I</t>
        </is>
      </c>
      <c r="D1724" s="12" t="inlineStr">
        <is>
          <t>SC-2 PCM auxiliary transformer primary, 2 MVA 13.8 kV / 480 V (from the GCB bus)</t>
        </is>
      </c>
      <c r="E1724" s="12" t="n">
        <v>13800</v>
      </c>
      <c r="F1724" s="12" t="n">
        <v>2000</v>
      </c>
      <c r="G1724" s="12" t="n">
        <v>84</v>
      </c>
      <c r="H1724" s="12" t="inlineStr">
        <is>
          <t>SC-2 PCM + 15 kV GCB</t>
        </is>
      </c>
      <c r="I1724" s="12" t="inlineStr">
        <is>
          <t>MV 15 kV</t>
        </is>
      </c>
      <c r="J1724" s="12" t="inlineStr">
        <is>
          <t>2</t>
        </is>
      </c>
      <c r="K1724" s="12" t="n">
        <v>1</v>
      </c>
    </row>
    <row r="1725">
      <c r="A1725" s="12" t="inlineStr">
        <is>
          <t>SC-GSU-1: 13.8 / 34.5 kV unit step-up, ~60 MVA (SC-1)</t>
        </is>
      </c>
      <c r="B1725" s="12" t="inlineStr">
        <is>
          <t>SC-GSU-1</t>
        </is>
      </c>
      <c r="C1725" s="12" t="inlineStr">
        <is>
          <t>I</t>
        </is>
      </c>
      <c r="D1725" s="12" t="inlineStr">
        <is>
          <t>SC-1 PCM (GCB) to SC-GSU-1</t>
        </is>
      </c>
      <c r="E1725" s="12" t="n">
        <v>13800</v>
      </c>
      <c r="F1725" s="12" t="n">
        <v>50000</v>
      </c>
      <c r="G1725" s="12" t="n">
        <v>2324</v>
      </c>
      <c r="H1725" s="12" t="inlineStr">
        <is>
          <t>SC-1 PCM + 15 kV GCB</t>
        </is>
      </c>
      <c r="I1725" s="12" t="inlineStr">
        <is>
          <t>MV 15 kV</t>
        </is>
      </c>
      <c r="J1725" s="12" t="inlineStr">
        <is>
          <t>1000 kcmil</t>
        </is>
      </c>
      <c r="K1725" s="12" t="n">
        <v>5</v>
      </c>
    </row>
    <row r="1726">
      <c r="A1726" s="12" t="inlineStr">
        <is>
          <t>SC-GSU-2: 13.8 / 34.5 kV unit step-up, ~60 MVA (SC-2)</t>
        </is>
      </c>
      <c r="B1726" s="12" t="inlineStr">
        <is>
          <t>SC-GSU-2</t>
        </is>
      </c>
      <c r="C1726" s="12" t="inlineStr">
        <is>
          <t>I</t>
        </is>
      </c>
      <c r="D1726" s="12" t="inlineStr">
        <is>
          <t>SC-2 PCM (GCB) to SC-GSU-2</t>
        </is>
      </c>
      <c r="E1726" s="12" t="n">
        <v>13800</v>
      </c>
      <c r="F1726" s="12" t="n">
        <v>50000</v>
      </c>
      <c r="G1726" s="12" t="n">
        <v>2324</v>
      </c>
      <c r="H1726" s="12" t="inlineStr">
        <is>
          <t>SC-2 PCM + 15 kV GCB</t>
        </is>
      </c>
      <c r="I1726" s="12" t="inlineStr">
        <is>
          <t>MV 15 kV</t>
        </is>
      </c>
      <c r="J1726" s="12" t="inlineStr">
        <is>
          <t>1000 kcmil</t>
        </is>
      </c>
      <c r="K1726" s="12" t="n">
        <v>5</v>
      </c>
    </row>
    <row r="1727">
      <c r="A1727" s="12" t="inlineStr">
        <is>
          <t>TGF-GSU: 13.8 / 34.5 kV step-up, ~20 MVA (trailer fleet)</t>
        </is>
      </c>
      <c r="B1727" s="12" t="inlineStr">
        <is>
          <t>TGF-GSU</t>
        </is>
      </c>
      <c r="C1727" s="12" t="inlineStr">
        <is>
          <t>I</t>
        </is>
      </c>
      <c r="D1727" s="12" t="inlineStr">
        <is>
          <t>TGF-SWG 13.8 kV to TGF-GSU</t>
        </is>
      </c>
      <c r="E1727" s="12" t="n">
        <v>13800</v>
      </c>
      <c r="F1727" s="12" t="n">
        <v>15000</v>
      </c>
      <c r="G1727" s="12" t="n">
        <v>697</v>
      </c>
      <c r="H1727" s="12" t="inlineStr">
        <is>
          <t>TGF-SWG: mobile 13.8 kV switchgear trailer (fleet collector)</t>
        </is>
      </c>
      <c r="I1727" s="12" t="inlineStr">
        <is>
          <t>MV 15 kV</t>
        </is>
      </c>
      <c r="J1727" s="12" t="inlineStr">
        <is>
          <t>500 kcmil</t>
        </is>
      </c>
      <c r="K1727" s="12" t="n">
        <v>2</v>
      </c>
    </row>
    <row r="1728">
      <c r="A1728" s="12" t="inlineStr">
        <is>
          <t>GBT-1: block GB-1 step-up 480 V : 34.5 kV, ~3 MVA pad-mount (on the 35</t>
        </is>
      </c>
      <c r="B1728" s="12" t="inlineStr">
        <is>
          <t>GBT-1</t>
        </is>
      </c>
      <c r="C1728" s="12" t="inlineStr">
        <is>
          <t>I</t>
        </is>
      </c>
      <c r="D1728" s="12" t="inlineStr">
        <is>
          <t>L3 35 kV collector loop, segment 1 of 5 (SWG-MY to GBT-1)</t>
        </is>
      </c>
      <c r="E1728" s="12" t="n">
        <v>34500</v>
      </c>
      <c r="F1728" s="12" t="n">
        <v>10000</v>
      </c>
      <c r="G1728" s="12" t="n">
        <v>167</v>
      </c>
      <c r="H1728" s="12" t="inlineStr">
        <is>
          <t>SWG-MY: 35 kV switchgear lineup for the modular blocks (grou</t>
        </is>
      </c>
      <c r="I1728" s="12" t="inlineStr">
        <is>
          <t>MV 35 kV</t>
        </is>
      </c>
      <c r="J1728" s="12" t="inlineStr">
        <is>
          <t>750 kcmil</t>
        </is>
      </c>
      <c r="K1728" s="12" t="n">
        <v>1</v>
      </c>
    </row>
    <row r="1729">
      <c r="A1729" s="12" t="inlineStr">
        <is>
          <t>GBT-2: block GB-2 step-up 480 V : 34.5 kV, ~3 MVA pad-mount (on the 35</t>
        </is>
      </c>
      <c r="B1729" s="12" t="inlineStr">
        <is>
          <t>GBT-2</t>
        </is>
      </c>
      <c r="C1729" s="12" t="inlineStr">
        <is>
          <t>I</t>
        </is>
      </c>
      <c r="D1729" s="12" t="inlineStr">
        <is>
          <t>L3 35 kV collector loop, segment 2 of 5 (GBT-1 to GBT-2)</t>
        </is>
      </c>
      <c r="E1729" s="12" t="n">
        <v>34500</v>
      </c>
      <c r="F1729" s="12" t="n">
        <v>10000</v>
      </c>
      <c r="G1729" s="12" t="n">
        <v>167</v>
      </c>
      <c r="H1729" s="12" t="inlineStr">
        <is>
          <t xml:space="preserve">GBT-1: block GB-1 step-up 480 V : 34.5 kV, ~3 MVA pad-mount </t>
        </is>
      </c>
      <c r="I1729" s="12" t="inlineStr">
        <is>
          <t>MV 35 kV</t>
        </is>
      </c>
      <c r="J1729" s="12" t="inlineStr">
        <is>
          <t>750 kcmil</t>
        </is>
      </c>
      <c r="K1729" s="12" t="n">
        <v>1</v>
      </c>
    </row>
    <row r="1730">
      <c r="A1730" s="12" t="inlineStr">
        <is>
          <t>GBT-3: block GB-3 step-up 480 V : 34.5 kV, ~3 MVA pad-mount (on the 35</t>
        </is>
      </c>
      <c r="B1730" s="12" t="inlineStr">
        <is>
          <t>GBT-3</t>
        </is>
      </c>
      <c r="C1730" s="12" t="inlineStr">
        <is>
          <t>I</t>
        </is>
      </c>
      <c r="D1730" s="12" t="inlineStr">
        <is>
          <t>L3 35 kV collector loop, segment 3 of 5 (GBT-2 to GBT-3)</t>
        </is>
      </c>
      <c r="E1730" s="12" t="n">
        <v>34500</v>
      </c>
      <c r="F1730" s="12" t="n">
        <v>10000</v>
      </c>
      <c r="G1730" s="12" t="n">
        <v>167</v>
      </c>
      <c r="H1730" s="12" t="inlineStr">
        <is>
          <t xml:space="preserve">GBT-2: block GB-2 step-up 480 V : 34.5 kV, ~3 MVA pad-mount </t>
        </is>
      </c>
      <c r="I1730" s="12" t="inlineStr">
        <is>
          <t>MV 35 kV</t>
        </is>
      </c>
      <c r="J1730" s="12" t="inlineStr">
        <is>
          <t>750 kcmil</t>
        </is>
      </c>
      <c r="K1730" s="12" t="n">
        <v>1</v>
      </c>
    </row>
    <row r="1731">
      <c r="A1731" s="12" t="inlineStr">
        <is>
          <t>GBT-4: block GB-4 step-up 480 V : 34.5 kV, ~3 MVA pad-mount (on the 35</t>
        </is>
      </c>
      <c r="B1731" s="12" t="inlineStr">
        <is>
          <t>GBT-4</t>
        </is>
      </c>
      <c r="C1731" s="12" t="inlineStr">
        <is>
          <t>I</t>
        </is>
      </c>
      <c r="D1731" s="12" t="inlineStr">
        <is>
          <t>L3 35 kV collector loop, segment 4 of 5 (GBT-3 to GBT-4)</t>
        </is>
      </c>
      <c r="E1731" s="12" t="n">
        <v>34500</v>
      </c>
      <c r="F1731" s="12" t="n">
        <v>10000</v>
      </c>
      <c r="G1731" s="12" t="n">
        <v>167</v>
      </c>
      <c r="H1731" s="12" t="inlineStr">
        <is>
          <t xml:space="preserve">GBT-3: block GB-3 step-up 480 V : 34.5 kV, ~3 MVA pad-mount </t>
        </is>
      </c>
      <c r="I1731" s="12" t="inlineStr">
        <is>
          <t>MV 35 kV</t>
        </is>
      </c>
      <c r="J1731" s="12" t="inlineStr">
        <is>
          <t>750 kcmil</t>
        </is>
      </c>
      <c r="K1731" s="12" t="n">
        <v>1</v>
      </c>
    </row>
    <row r="1732">
      <c r="A1732" s="12" t="inlineStr">
        <is>
          <t>MOD-EH: 34.5 kV modular collector e-house (2 bus sections + 13.8 kV st</t>
        </is>
      </c>
      <c r="B1732" s="12" t="inlineStr">
        <is>
          <t>MOD-EH</t>
        </is>
      </c>
      <c r="C1732" s="12" t="inlineStr">
        <is>
          <t>I</t>
        </is>
      </c>
      <c r="D1732" s="12" t="inlineStr">
        <is>
          <t>RICE-GSU-A 34.5 kV to MOD-EH bus 1</t>
        </is>
      </c>
      <c r="E1732" s="12" t="n">
        <v>34500</v>
      </c>
      <c r="F1732" s="12" t="n">
        <v>36800</v>
      </c>
      <c r="G1732" s="12" t="n">
        <v>684</v>
      </c>
      <c r="H1732" s="12" t="inlineStr">
        <is>
          <t>RICE-GSU-A: 13.8 / 34.5 kV group step-up, ~45 MVA (RICE 1-2)</t>
        </is>
      </c>
      <c r="I1732" s="12" t="inlineStr">
        <is>
          <t>MV 35 kV</t>
        </is>
      </c>
      <c r="J1732" s="12" t="inlineStr">
        <is>
          <t>750 kcmil</t>
        </is>
      </c>
      <c r="K1732" s="12" t="n">
        <v>2</v>
      </c>
    </row>
    <row r="1733">
      <c r="A1733" s="12" t="inlineStr">
        <is>
          <t>MOD-EH: 34.5 kV modular collector e-house (2 bus sections + 13.8 kV st</t>
        </is>
      </c>
      <c r="B1733" s="12" t="inlineStr">
        <is>
          <t>MOD-EH</t>
        </is>
      </c>
      <c r="C1733" s="12" t="inlineStr">
        <is>
          <t>I</t>
        </is>
      </c>
      <c r="D1733" s="12" t="inlineStr">
        <is>
          <t>RICE-GSU-B 34.5 kV to MOD-EH bus 1</t>
        </is>
      </c>
      <c r="E1733" s="12" t="n">
        <v>34500</v>
      </c>
      <c r="F1733" s="12" t="n">
        <v>36800</v>
      </c>
      <c r="G1733" s="12" t="n">
        <v>684</v>
      </c>
      <c r="H1733" s="12" t="inlineStr">
        <is>
          <t>RICE-GSU-B: 13.8 / 34.5 kV group step-up, ~45 MVA (RICE 3-4)</t>
        </is>
      </c>
      <c r="I1733" s="12" t="inlineStr">
        <is>
          <t>MV 35 kV</t>
        </is>
      </c>
      <c r="J1733" s="12" t="inlineStr">
        <is>
          <t>750 kcmil</t>
        </is>
      </c>
      <c r="K1733" s="12" t="n">
        <v>2</v>
      </c>
    </row>
    <row r="1734">
      <c r="A1734" s="12" t="inlineStr">
        <is>
          <t>MOD-EH: 34.5 kV modular collector e-house (2 bus sections + 13.8 kV st</t>
        </is>
      </c>
      <c r="B1734" s="12" t="inlineStr">
        <is>
          <t>MOD-EH</t>
        </is>
      </c>
      <c r="C1734" s="12" t="inlineStr">
        <is>
          <t>I</t>
        </is>
      </c>
      <c r="D1734" s="12" t="inlineStr">
        <is>
          <t>RICE-GSU-C 34.5 kV to MOD-EH bus 2</t>
        </is>
      </c>
      <c r="E1734" s="12" t="n">
        <v>34500</v>
      </c>
      <c r="F1734" s="12" t="n">
        <v>36800</v>
      </c>
      <c r="G1734" s="12" t="n">
        <v>684</v>
      </c>
      <c r="H1734" s="12" t="inlineStr">
        <is>
          <t>RICE-GSU-C: 13.8 / 34.5 kV group step-up, ~45 MVA (RICE 5-6)</t>
        </is>
      </c>
      <c r="I1734" s="12" t="inlineStr">
        <is>
          <t>MV 35 kV</t>
        </is>
      </c>
      <c r="J1734" s="12" t="inlineStr">
        <is>
          <t>750 kcmil</t>
        </is>
      </c>
      <c r="K1734" s="12" t="n">
        <v>2</v>
      </c>
    </row>
    <row r="1735">
      <c r="A1735" s="12" t="inlineStr">
        <is>
          <t>MOD-EH: 34.5 kV modular collector e-house (2 bus sections + 13.8 kV st</t>
        </is>
      </c>
      <c r="B1735" s="12" t="inlineStr">
        <is>
          <t>MOD-EH</t>
        </is>
      </c>
      <c r="C1735" s="12" t="inlineStr">
        <is>
          <t>I</t>
        </is>
      </c>
      <c r="D1735" s="12" t="inlineStr">
        <is>
          <t>RICE-GSU-D 34.5 kV to MOD-EH bus 2</t>
        </is>
      </c>
      <c r="E1735" s="12" t="n">
        <v>34500</v>
      </c>
      <c r="F1735" s="12" t="n">
        <v>36800</v>
      </c>
      <c r="G1735" s="12" t="n">
        <v>684</v>
      </c>
      <c r="H1735" s="12" t="inlineStr">
        <is>
          <t>RICE-GSU-D: 13.8 / 34.5 kV group step-up, ~45 MVA (RICE 7-8)</t>
        </is>
      </c>
      <c r="I1735" s="12" t="inlineStr">
        <is>
          <t>MV 35 kV</t>
        </is>
      </c>
      <c r="J1735" s="12" t="inlineStr">
        <is>
          <t>750 kcmil</t>
        </is>
      </c>
      <c r="K1735" s="12" t="n">
        <v>2</v>
      </c>
    </row>
    <row r="1736">
      <c r="A1736" s="12" t="inlineStr">
        <is>
          <t>MOD-EH: 34.5 kV modular collector e-house (2 bus sections + 13.8 kV st</t>
        </is>
      </c>
      <c r="B1736" s="12" t="inlineStr">
        <is>
          <t>MOD-EH</t>
        </is>
      </c>
      <c r="C1736" s="12" t="inlineStr">
        <is>
          <t>I</t>
        </is>
      </c>
      <c r="D1736" s="12" t="inlineStr">
        <is>
          <t>SC-GSU-1 34.5 kV to MOD-EH bus 1</t>
        </is>
      </c>
      <c r="E1736" s="12" t="n">
        <v>34500</v>
      </c>
      <c r="F1736" s="12" t="n">
        <v>50000</v>
      </c>
      <c r="G1736" s="12" t="n">
        <v>930</v>
      </c>
      <c r="H1736" s="12" t="inlineStr">
        <is>
          <t>SC-GSU-1: 13.8 / 34.5 kV unit step-up, ~60 MVA (SC-1)</t>
        </is>
      </c>
      <c r="I1736" s="12" t="inlineStr">
        <is>
          <t>MV 35 kV</t>
        </is>
      </c>
      <c r="J1736" s="12" t="inlineStr">
        <is>
          <t>750 kcmil</t>
        </is>
      </c>
      <c r="K1736" s="12" t="n">
        <v>3</v>
      </c>
    </row>
    <row r="1737">
      <c r="A1737" s="12" t="inlineStr">
        <is>
          <t>MOD-EH: 34.5 kV modular collector e-house (2 bus sections + 13.8 kV st</t>
        </is>
      </c>
      <c r="B1737" s="12" t="inlineStr">
        <is>
          <t>MOD-EH</t>
        </is>
      </c>
      <c r="C1737" s="12" t="inlineStr">
        <is>
          <t>I</t>
        </is>
      </c>
      <c r="D1737" s="12" t="inlineStr">
        <is>
          <t>SC-GSU-2 34.5 kV to MOD-EH bus 2</t>
        </is>
      </c>
      <c r="E1737" s="12" t="n">
        <v>34500</v>
      </c>
      <c r="F1737" s="12" t="n">
        <v>50000</v>
      </c>
      <c r="G1737" s="12" t="n">
        <v>930</v>
      </c>
      <c r="H1737" s="12" t="inlineStr">
        <is>
          <t>SC-GSU-2: 13.8 / 34.5 kV unit step-up, ~60 MVA (SC-2)</t>
        </is>
      </c>
      <c r="I1737" s="12" t="inlineStr">
        <is>
          <t>MV 35 kV</t>
        </is>
      </c>
      <c r="J1737" s="12" t="inlineStr">
        <is>
          <t>750 kcmil</t>
        </is>
      </c>
      <c r="K1737" s="12" t="n">
        <v>3</v>
      </c>
    </row>
    <row r="1738">
      <c r="A1738" s="12" t="inlineStr">
        <is>
          <t>MOD-GT1: 34.5 kV zigzag grounding transformer, MOD-EH bus 1</t>
        </is>
      </c>
      <c r="B1738" s="12" t="inlineStr">
        <is>
          <t>MOD-GT1</t>
        </is>
      </c>
      <c r="C1738" s="12" t="inlineStr">
        <is>
          <t>I</t>
        </is>
      </c>
      <c r="D1738" s="12" t="inlineStr">
        <is>
          <t>MOD-GT1 zigzag grounding transformer, bus 1</t>
        </is>
      </c>
      <c r="E1738" s="12" t="n">
        <v>34500</v>
      </c>
      <c r="F1738" s="12" t="n">
        <v>300</v>
      </c>
      <c r="G1738" s="12" t="n">
        <v>5</v>
      </c>
      <c r="H1738" s="12" t="inlineStr">
        <is>
          <t xml:space="preserve">MOD-EH: 34.5 kV modular collector e-house (2 bus sections + </t>
        </is>
      </c>
      <c r="I1738" s="12" t="inlineStr">
        <is>
          <t>MV 35 kV</t>
        </is>
      </c>
      <c r="J1738" s="12" t="inlineStr">
        <is>
          <t>2</t>
        </is>
      </c>
      <c r="K1738" s="12" t="n">
        <v>1</v>
      </c>
    </row>
    <row r="1739">
      <c r="A1739" s="12" t="inlineStr">
        <is>
          <t>MOD-GT2: 34.5 kV zigzag grounding transformer, MOD-EH bus 2</t>
        </is>
      </c>
      <c r="B1739" s="12" t="inlineStr">
        <is>
          <t>MOD-GT2</t>
        </is>
      </c>
      <c r="C1739" s="12" t="inlineStr">
        <is>
          <t>I</t>
        </is>
      </c>
      <c r="D1739" s="12" t="inlineStr">
        <is>
          <t>MOD-GT2 zigzag grounding transformer, bus 2</t>
        </is>
      </c>
      <c r="E1739" s="12" t="n">
        <v>34500</v>
      </c>
      <c r="F1739" s="12" t="n">
        <v>300</v>
      </c>
      <c r="G1739" s="12" t="n">
        <v>5</v>
      </c>
      <c r="H1739" s="12" t="inlineStr">
        <is>
          <t xml:space="preserve">MOD-EH: 34.5 kV modular collector e-house (2 bus sections + </t>
        </is>
      </c>
      <c r="I1739" s="12" t="inlineStr">
        <is>
          <t>MV 35 kV</t>
        </is>
      </c>
      <c r="J1739" s="12" t="inlineStr">
        <is>
          <t>2</t>
        </is>
      </c>
      <c r="K1739" s="12" t="n">
        <v>1</v>
      </c>
    </row>
    <row r="1740">
      <c r="A1740" s="12" t="inlineStr">
        <is>
          <t>MOD-SST: 34.5 / 13.8 kV station-service transformer, ~10 MVA (yard sta</t>
        </is>
      </c>
      <c r="B1740" s="12" t="inlineStr">
        <is>
          <t>MOD-SST</t>
        </is>
      </c>
      <c r="C1740" s="12" t="inlineStr">
        <is>
          <t>I</t>
        </is>
      </c>
      <c r="D1740" s="12" t="inlineStr">
        <is>
          <t>MOD-SST 34.5 kV primary</t>
        </is>
      </c>
      <c r="E1740" s="12" t="n">
        <v>34500</v>
      </c>
      <c r="F1740" s="12" t="n">
        <v>9000</v>
      </c>
      <c r="G1740" s="12" t="n">
        <v>167</v>
      </c>
      <c r="H1740" s="12" t="inlineStr">
        <is>
          <t xml:space="preserve">MOD-EH: 34.5 kV modular collector e-house (2 bus sections + </t>
        </is>
      </c>
      <c r="I1740" s="12" t="inlineStr">
        <is>
          <t>MV 35 kV</t>
        </is>
      </c>
      <c r="J1740" s="12" t="inlineStr">
        <is>
          <t>4/0</t>
        </is>
      </c>
      <c r="K1740" s="12" t="n">
        <v>1</v>
      </c>
    </row>
    <row r="1741">
      <c r="A1741" s="12" t="inlineStr">
        <is>
          <t>PGS-TX2: 480 V : 34.5 kV, ~5 MVA loop-feed pad-mount (gensets 5-8)</t>
        </is>
      </c>
      <c r="B1741" s="12" t="inlineStr">
        <is>
          <t>PGS-TX2</t>
        </is>
      </c>
      <c r="C1741" s="12" t="inlineStr">
        <is>
          <t>I</t>
        </is>
      </c>
      <c r="D1741" s="12" t="inlineStr">
        <is>
          <t>PGS-TX1 to PGS-TX2 34.5 kV loop feed</t>
        </is>
      </c>
      <c r="E1741" s="12" t="n">
        <v>34500</v>
      </c>
      <c r="F1741" s="12" t="n">
        <v>4000</v>
      </c>
      <c r="G1741" s="12" t="n">
        <v>74</v>
      </c>
      <c r="H1741" s="12" t="inlineStr">
        <is>
          <t>PGS-TX1: 480 V : 34.5 kV, ~5 MVA loop-feed pad-mount (genset</t>
        </is>
      </c>
      <c r="I1741" s="12" t="inlineStr">
        <is>
          <t>MV 35 kV</t>
        </is>
      </c>
      <c r="J1741" s="12" t="inlineStr">
        <is>
          <t>2</t>
        </is>
      </c>
      <c r="K1741" s="12" t="n">
        <v>1</v>
      </c>
    </row>
    <row r="1742">
      <c r="A1742" s="12" t="inlineStr">
        <is>
          <t>PK-GT1: 34.5 kV zigzag grounding transformer, SWG-PK bus A</t>
        </is>
      </c>
      <c r="B1742" s="12" t="inlineStr">
        <is>
          <t>PK-GT1</t>
        </is>
      </c>
      <c r="C1742" s="12" t="inlineStr">
        <is>
          <t>I</t>
        </is>
      </c>
      <c r="D1742" s="12" t="inlineStr">
        <is>
          <t>PK-GT1 zigzag grounding transformer, SWG-PK bus A</t>
        </is>
      </c>
      <c r="E1742" s="12" t="n">
        <v>34500</v>
      </c>
      <c r="F1742" s="12" t="n">
        <v>300</v>
      </c>
      <c r="G1742" s="12" t="n">
        <v>5</v>
      </c>
      <c r="H1742" s="12" t="inlineStr">
        <is>
          <t>SWG-PK: 34.5 kV park collector switchgear (2 bus sections, t</t>
        </is>
      </c>
      <c r="I1742" s="12" t="inlineStr">
        <is>
          <t>MV 35 kV</t>
        </is>
      </c>
      <c r="J1742" s="12" t="inlineStr">
        <is>
          <t>2</t>
        </is>
      </c>
      <c r="K1742" s="12" t="n">
        <v>1</v>
      </c>
    </row>
    <row r="1743">
      <c r="A1743" s="12" t="inlineStr">
        <is>
          <t>PK-GT2: 34.5 kV zigzag grounding transformer, SWG-PK bus B</t>
        </is>
      </c>
      <c r="B1743" s="12" t="inlineStr">
        <is>
          <t>PK-GT2</t>
        </is>
      </c>
      <c r="C1743" s="12" t="inlineStr">
        <is>
          <t>I</t>
        </is>
      </c>
      <c r="D1743" s="12" t="inlineStr">
        <is>
          <t>PK-GT2 zigzag grounding transformer, SWG-PK bus B</t>
        </is>
      </c>
      <c r="E1743" s="12" t="n">
        <v>34500</v>
      </c>
      <c r="F1743" s="12" t="n">
        <v>300</v>
      </c>
      <c r="G1743" s="12" t="n">
        <v>5</v>
      </c>
      <c r="H1743" s="12" t="inlineStr">
        <is>
          <t>SWG-PK: 34.5 kV park collector switchgear (2 bus sections, t</t>
        </is>
      </c>
      <c r="I1743" s="12" t="inlineStr">
        <is>
          <t>MV 35 kV</t>
        </is>
      </c>
      <c r="J1743" s="12" t="inlineStr">
        <is>
          <t>2</t>
        </is>
      </c>
      <c r="K1743" s="12" t="n">
        <v>1</v>
      </c>
    </row>
    <row r="1744">
      <c r="A1744" s="12" t="inlineStr">
        <is>
          <t xml:space="preserve">SWG-MY: 35 kV switchgear lineup for the modular blocks (group breaker </t>
        </is>
      </c>
      <c r="B1744" s="12" t="inlineStr">
        <is>
          <t>SWG-MY</t>
        </is>
      </c>
      <c r="C1744" s="12" t="inlineStr">
        <is>
          <t>I</t>
        </is>
      </c>
      <c r="D1744" s="12" t="inlineStr">
        <is>
          <t>L3 35 kV collector loop, segment 5 of 5 (GBT-4 to SWG-MY)</t>
        </is>
      </c>
      <c r="E1744" s="12" t="n">
        <v>34500</v>
      </c>
      <c r="F1744" s="12" t="n">
        <v>10000</v>
      </c>
      <c r="G1744" s="12" t="n">
        <v>167</v>
      </c>
      <c r="H1744" s="12" t="inlineStr">
        <is>
          <t xml:space="preserve">GBT-4: block GB-4 step-up 480 V : 34.5 kV, ~3 MVA pad-mount </t>
        </is>
      </c>
      <c r="I1744" s="12" t="inlineStr">
        <is>
          <t>MV 35 kV</t>
        </is>
      </c>
      <c r="J1744" s="12" t="inlineStr">
        <is>
          <t>750 kcmil</t>
        </is>
      </c>
      <c r="K1744" s="12" t="n">
        <v>1</v>
      </c>
    </row>
    <row r="1745">
      <c r="A1745" s="12" t="inlineStr">
        <is>
          <t xml:space="preserve">SWG-MY: 35 kV switchgear lineup for the modular blocks (group breaker </t>
        </is>
      </c>
      <c r="B1745" s="12" t="inlineStr">
        <is>
          <t>SWG-MY</t>
        </is>
      </c>
      <c r="C1745" s="12" t="inlineStr">
        <is>
          <t>I</t>
        </is>
      </c>
      <c r="D1745" s="12" t="inlineStr">
        <is>
          <t>L5 SWG-MY feeder to the data centre 34.5 kV switchgear BTM-SWGR, to the fence (scope owner TO VERIFY)</t>
        </is>
      </c>
      <c r="E1745" s="12" t="n">
        <v>34500</v>
      </c>
      <c r="F1745" s="12" t="n">
        <v>10000</v>
      </c>
      <c r="G1745" s="12" t="n">
        <v>167</v>
      </c>
      <c r="H1745" s="12" t="inlineStr">
        <is>
          <t>SWG-MY: 35 kV switchgear lineup for the modular blocks (grou</t>
        </is>
      </c>
      <c r="I1745" s="12" t="inlineStr">
        <is>
          <t>MV 35 kV</t>
        </is>
      </c>
      <c r="J1745" s="12" t="inlineStr">
        <is>
          <t>750 kcmil</t>
        </is>
      </c>
      <c r="K1745" s="12" t="n">
        <v>1</v>
      </c>
    </row>
    <row r="1746">
      <c r="A1746" s="12" t="inlineStr">
        <is>
          <t>SWG-PK: 34.5 kV park collector switchgear (2 bus sections, tie; 8 feed</t>
        </is>
      </c>
      <c r="B1746" s="12" t="inlineStr">
        <is>
          <t>SWG-PK</t>
        </is>
      </c>
      <c r="C1746" s="12" t="inlineStr">
        <is>
          <t>I</t>
        </is>
      </c>
      <c r="D1746" s="12" t="inlineStr">
        <is>
          <t>TGF-GSU 34.5 kV collector feeder to SWG-PK (bus A)</t>
        </is>
      </c>
      <c r="E1746" s="12" t="n">
        <v>34500</v>
      </c>
      <c r="F1746" s="12" t="n">
        <v>15000</v>
      </c>
      <c r="G1746" s="12" t="n">
        <v>279</v>
      </c>
      <c r="H1746" s="12" t="inlineStr">
        <is>
          <t>TGF-GSU: 13.8 / 34.5 kV step-up, ~20 MVA (trailer fleet)</t>
        </is>
      </c>
      <c r="I1746" s="12" t="inlineStr">
        <is>
          <t>MV 35 kV</t>
        </is>
      </c>
      <c r="J1746" s="12" t="inlineStr">
        <is>
          <t>500 kcmil</t>
        </is>
      </c>
      <c r="K1746" s="12" t="n">
        <v>1</v>
      </c>
    </row>
    <row r="1747">
      <c r="A1747" s="12" t="inlineStr">
        <is>
          <t>SWG-PK: 34.5 kV park collector switchgear (2 bus sections, tie; 8 feed</t>
        </is>
      </c>
      <c r="B1747" s="12" t="inlineStr">
        <is>
          <t>SWG-PK</t>
        </is>
      </c>
      <c r="C1747" s="12" t="inlineStr">
        <is>
          <t>I</t>
        </is>
      </c>
      <c r="D1747" s="12" t="inlineStr">
        <is>
          <t>CGE-GSU 34.5 kV collector feeder to SWG-PK (bus A)</t>
        </is>
      </c>
      <c r="E1747" s="12" t="n">
        <v>34500</v>
      </c>
      <c r="F1747" s="12" t="n">
        <v>17600</v>
      </c>
      <c r="G1747" s="12" t="n">
        <v>327</v>
      </c>
      <c r="H1747" s="12" t="inlineStr">
        <is>
          <t>CGE-GSU: 13.8 / 34.5 kV step-up, ~20 MVA (containerized engi</t>
        </is>
      </c>
      <c r="I1747" s="12" t="inlineStr">
        <is>
          <t>MV 35 kV</t>
        </is>
      </c>
      <c r="J1747" s="12" t="inlineStr">
        <is>
          <t>750 kcmil</t>
        </is>
      </c>
      <c r="K1747" s="12" t="n">
        <v>1</v>
      </c>
    </row>
    <row r="1748">
      <c r="A1748" s="12" t="inlineStr">
        <is>
          <t>SWG-PK: 34.5 kV park collector switchgear (2 bus sections, tie; 8 feed</t>
        </is>
      </c>
      <c r="B1748" s="12" t="inlineStr">
        <is>
          <t>SWG-PK</t>
        </is>
      </c>
      <c r="C1748" s="12" t="inlineStr">
        <is>
          <t>I</t>
        </is>
      </c>
      <c r="D1748" s="12" t="inlineStr">
        <is>
          <t>PGS-TX2 34.5 kV collector feeder to SWG-PK (bus A)</t>
        </is>
      </c>
      <c r="E1748" s="12" t="n">
        <v>34500</v>
      </c>
      <c r="F1748" s="12" t="n">
        <v>8000</v>
      </c>
      <c r="G1748" s="12" t="n">
        <v>149</v>
      </c>
      <c r="H1748" s="12" t="inlineStr">
        <is>
          <t>PGS-TX2: 480 V : 34.5 kV, ~5 MVA loop-feed pad-mount (genset</t>
        </is>
      </c>
      <c r="I1748" s="12" t="inlineStr">
        <is>
          <t>MV 35 kV</t>
        </is>
      </c>
      <c r="J1748" s="12" t="inlineStr">
        <is>
          <t>4/0</t>
        </is>
      </c>
      <c r="K1748" s="12" t="n">
        <v>1</v>
      </c>
    </row>
    <row r="1749">
      <c r="A1749" s="12" t="inlineStr">
        <is>
          <t>SWG-PK: 34.5 kV park collector switchgear (2 bus sections, tie; 8 feed</t>
        </is>
      </c>
      <c r="B1749" s="12" t="inlineStr">
        <is>
          <t>SWG-PK</t>
        </is>
      </c>
      <c r="C1749" s="12" t="inlineStr">
        <is>
          <t>I</t>
        </is>
      </c>
      <c r="D1749" s="12" t="inlineStr">
        <is>
          <t>MTG-GSU 34.5 kV collector feeder to SWG-PK (bus B)</t>
        </is>
      </c>
      <c r="E1749" s="12" t="n">
        <v>34500</v>
      </c>
      <c r="F1749" s="12" t="n">
        <v>32000</v>
      </c>
      <c r="G1749" s="12" t="n">
        <v>595</v>
      </c>
      <c r="H1749" s="12" t="inlineStr">
        <is>
          <t>MTG-GSU: 13.8 / 34.5 kV step-up, ~40 MVA (mid-size turbines)</t>
        </is>
      </c>
      <c r="I1749" s="12" t="inlineStr">
        <is>
          <t>MV 35 kV</t>
        </is>
      </c>
      <c r="J1749" s="12" t="inlineStr">
        <is>
          <t>750 kcmil</t>
        </is>
      </c>
      <c r="K1749" s="12" t="n">
        <v>2</v>
      </c>
    </row>
    <row r="1750">
      <c r="A1750" s="12" t="inlineStr">
        <is>
          <t>SWG-PK: 34.5 kV park collector switchgear (2 bus sections, tie; 8 feed</t>
        </is>
      </c>
      <c r="B1750" s="12" t="inlineStr">
        <is>
          <t>SWG-PK</t>
        </is>
      </c>
      <c r="C1750" s="12" t="inlineStr">
        <is>
          <t>I</t>
        </is>
      </c>
      <c r="D1750" s="12" t="inlineStr">
        <is>
          <t>PAD-GSU 34.5 kV collector feeder to SWG-PK (bus A)</t>
        </is>
      </c>
      <c r="E1750" s="12" t="n">
        <v>34500</v>
      </c>
      <c r="F1750" s="12" t="n">
        <v>52000</v>
      </c>
      <c r="G1750" s="12" t="n">
        <v>967</v>
      </c>
      <c r="H1750" s="12" t="inlineStr">
        <is>
          <t xml:space="preserve">PAD-GSU: 13.8 / 34.5 kV step-up, ~60 MVA (PAD-EH: TM-1, CHP </t>
        </is>
      </c>
      <c r="I1750" s="12" t="inlineStr">
        <is>
          <t>MV 35 kV</t>
        </is>
      </c>
      <c r="J1750" s="12" t="inlineStr">
        <is>
          <t>750 kcmil</t>
        </is>
      </c>
      <c r="K1750" s="12" t="n">
        <v>3</v>
      </c>
    </row>
    <row r="1751">
      <c r="A1751" s="12" t="inlineStr">
        <is>
          <t>SWG-PK: 34.5 kV park collector switchgear (2 bus sections, tie; 8 feed</t>
        </is>
      </c>
      <c r="B1751" s="12" t="inlineStr">
        <is>
          <t>SWG-PK</t>
        </is>
      </c>
      <c r="C1751" s="12" t="inlineStr">
        <is>
          <t>I</t>
        </is>
      </c>
      <c r="D1751" s="12" t="inlineStr">
        <is>
          <t>AX-GSU 34.5 kV collector feeder to SWG-PK (bus B)</t>
        </is>
      </c>
      <c r="E1751" s="12" t="n">
        <v>34500</v>
      </c>
      <c r="F1751" s="12" t="n">
        <v>35000</v>
      </c>
      <c r="G1751" s="12" t="n">
        <v>651</v>
      </c>
      <c r="H1751" s="12" t="inlineStr">
        <is>
          <t>AX-GSU: 13.8 / 34.5 kV step-up, ~45 MVA (AX-1 unit step-up)</t>
        </is>
      </c>
      <c r="I1751" s="12" t="inlineStr">
        <is>
          <t>MV 35 kV</t>
        </is>
      </c>
      <c r="J1751" s="12" t="inlineStr">
        <is>
          <t>750 kcmil</t>
        </is>
      </c>
      <c r="K1751" s="12" t="n">
        <v>2</v>
      </c>
    </row>
    <row r="1752">
      <c r="A1752" s="12" t="inlineStr">
        <is>
          <t>SWG-PK: 34.5 kV park collector switchgear (2 bus sections, tie; 8 feed</t>
        </is>
      </c>
      <c r="B1752" s="12" t="inlineStr">
        <is>
          <t>SWG-PK</t>
        </is>
      </c>
      <c r="C1752" s="12" t="inlineStr">
        <is>
          <t>I</t>
        </is>
      </c>
      <c r="D1752" s="12" t="inlineStr">
        <is>
          <t>IG-GSU 34.5 kV collector feeder to SWG-PK (bus B)</t>
        </is>
      </c>
      <c r="E1752" s="12" t="n">
        <v>34500</v>
      </c>
      <c r="F1752" s="12" t="n">
        <v>50000</v>
      </c>
      <c r="G1752" s="12" t="n">
        <v>930</v>
      </c>
      <c r="H1752" s="12" t="inlineStr">
        <is>
          <t>IG-GSU: 13.8 / 34.5 kV step-up, ~60 MVA (IG-1 unit step-up)</t>
        </is>
      </c>
      <c r="I1752" s="12" t="inlineStr">
        <is>
          <t>MV 35 kV</t>
        </is>
      </c>
      <c r="J1752" s="12" t="inlineStr">
        <is>
          <t>750 kcmil</t>
        </is>
      </c>
      <c r="K1752" s="12" t="n">
        <v>3</v>
      </c>
    </row>
    <row r="1753">
      <c r="A1753" s="12" t="inlineStr">
        <is>
          <t>T-MOD-1: 230 / 34.5 kV</t>
        </is>
      </c>
      <c r="B1753" s="12" t="inlineStr">
        <is>
          <t>T-MOD-1</t>
        </is>
      </c>
      <c r="C1753" s="12" t="inlineStr">
        <is>
          <t>I</t>
        </is>
      </c>
      <c r="D1753" s="12" t="inlineStr">
        <is>
          <t>MOD-EH bus 1 main to T-MOD-1 34.5 kV</t>
        </is>
      </c>
      <c r="E1753" s="12" t="n">
        <v>34500</v>
      </c>
      <c r="F1753" s="12" t="n">
        <v>123600</v>
      </c>
      <c r="G1753" s="12" t="n">
        <v>2298</v>
      </c>
      <c r="H1753" s="12" t="inlineStr">
        <is>
          <t xml:space="preserve">MOD-EH: 34.5 kV modular collector e-house (2 bus sections + </t>
        </is>
      </c>
      <c r="I1753" s="12" t="inlineStr">
        <is>
          <t>MV 35 kV</t>
        </is>
      </c>
      <c r="J1753" s="12" t="inlineStr">
        <is>
          <t>1000 kcmil</t>
        </is>
      </c>
      <c r="K1753" s="12" t="n">
        <v>6</v>
      </c>
    </row>
    <row r="1754">
      <c r="A1754" s="12" t="inlineStr">
        <is>
          <t>T-MOD-2: 230 / 34.5 kV</t>
        </is>
      </c>
      <c r="B1754" s="12" t="inlineStr">
        <is>
          <t>T-MOD-2</t>
        </is>
      </c>
      <c r="C1754" s="12" t="inlineStr">
        <is>
          <t>I</t>
        </is>
      </c>
      <c r="D1754" s="12" t="inlineStr">
        <is>
          <t>MOD-EH bus 2 main to T-MOD-2 34.5 kV</t>
        </is>
      </c>
      <c r="E1754" s="12" t="n">
        <v>34500</v>
      </c>
      <c r="F1754" s="12" t="n">
        <v>123600</v>
      </c>
      <c r="G1754" s="12" t="n">
        <v>2298</v>
      </c>
      <c r="H1754" s="12" t="inlineStr">
        <is>
          <t xml:space="preserve">MOD-EH: 34.5 kV modular collector e-house (2 bus sections + </t>
        </is>
      </c>
      <c r="I1754" s="12" t="inlineStr">
        <is>
          <t>MV 35 kV</t>
        </is>
      </c>
      <c r="J1754" s="12" t="inlineStr">
        <is>
          <t>1000 kcmil</t>
        </is>
      </c>
      <c r="K1754" s="12" t="n">
        <v>6</v>
      </c>
    </row>
    <row r="1755">
      <c r="A1755" s="12" t="inlineStr">
        <is>
          <t>T-MOD-3: 230 / 34.5 / 34.5 kV, ~250 MVA three-winding (power park coll</t>
        </is>
      </c>
      <c r="B1755" s="12" t="inlineStr">
        <is>
          <t>T-MOD-3</t>
        </is>
      </c>
      <c r="C1755" s="12" t="inlineStr">
        <is>
          <t>I</t>
        </is>
      </c>
      <c r="D1755" s="12" t="inlineStr">
        <is>
          <t>SWG-PK bus A main to T-MOD-3 LV winding 1</t>
        </is>
      </c>
      <c r="E1755" s="12" t="n">
        <v>34500</v>
      </c>
      <c r="F1755" s="12" t="n">
        <v>92600</v>
      </c>
      <c r="G1755" s="12" t="n">
        <v>1722</v>
      </c>
      <c r="H1755" s="12" t="inlineStr">
        <is>
          <t>SWG-PK: 34.5 kV park collector switchgear (2 bus sections, t</t>
        </is>
      </c>
      <c r="I1755" s="12" t="inlineStr">
        <is>
          <t>MV 35 kV</t>
        </is>
      </c>
      <c r="J1755" s="12" t="inlineStr">
        <is>
          <t>750 kcmil</t>
        </is>
      </c>
      <c r="K1755" s="12" t="n">
        <v>5</v>
      </c>
    </row>
    <row r="1756">
      <c r="A1756" s="12" t="inlineStr">
        <is>
          <t>T-MOD-3: 230 / 34.5 / 34.5 kV, ~250 MVA three-winding (power park coll</t>
        </is>
      </c>
      <c r="B1756" s="12" t="inlineStr">
        <is>
          <t>T-MOD-3</t>
        </is>
      </c>
      <c r="C1756" s="12" t="inlineStr">
        <is>
          <t>I</t>
        </is>
      </c>
      <c r="D1756" s="12" t="inlineStr">
        <is>
          <t>SWG-PK bus B main to T-MOD-3 LV winding 2</t>
        </is>
      </c>
      <c r="E1756" s="12" t="n">
        <v>34500</v>
      </c>
      <c r="F1756" s="12" t="n">
        <v>117000</v>
      </c>
      <c r="G1756" s="12" t="n">
        <v>2176</v>
      </c>
      <c r="H1756" s="12" t="inlineStr">
        <is>
          <t>SWG-PK: 34.5 kV park collector switchgear (2 bus sections, t</t>
        </is>
      </c>
      <c r="I1756" s="12" t="inlineStr">
        <is>
          <t>MV 35 kV</t>
        </is>
      </c>
      <c r="J1756" s="12" t="inlineStr">
        <is>
          <t>1000 kcmil</t>
        </is>
      </c>
      <c r="K1756" s="12" t="n">
        <v>6</v>
      </c>
    </row>
    <row r="1757">
      <c r="A1757" s="12" t="inlineStr">
        <is>
          <t>LB: commissioning load bank (trailer)</t>
        </is>
      </c>
      <c r="B1757" s="12" t="inlineStr">
        <is>
          <t>LB</t>
        </is>
      </c>
      <c r="C1757" s="12" t="inlineStr">
        <is>
          <t>I</t>
        </is>
      </c>
      <c r="D1757" s="12" t="inlineStr">
        <is>
          <t>PIC to commissioning load bank</t>
        </is>
      </c>
      <c r="E1757" s="12" t="n">
        <v>13800</v>
      </c>
      <c r="F1757" s="12" t="n">
        <v>2000</v>
      </c>
      <c r="G1757" s="12" t="n">
        <v>93</v>
      </c>
      <c r="H1757" s="12" t="inlineStr">
        <is>
          <t>PIC: portable input cabinet</t>
        </is>
      </c>
      <c r="I1757" s="12" t="inlineStr">
        <is>
          <t>Portable MV</t>
        </is>
      </c>
      <c r="J1757" s="12" t="inlineStr">
        <is>
          <t>2</t>
        </is>
      </c>
      <c r="K1757" s="12" t="n">
        <v>1</v>
      </c>
    </row>
    <row r="1758">
      <c r="A1758" s="12" t="inlineStr">
        <is>
          <t>PAD-EH 13.8 kV switchgear e-house</t>
        </is>
      </c>
      <c r="B1758" s="12" t="inlineStr">
        <is>
          <t>PAD-EH</t>
        </is>
      </c>
      <c r="C1758" s="12" t="inlineStr">
        <is>
          <t>I</t>
        </is>
      </c>
      <c r="D1758" s="12" t="inlineStr">
        <is>
          <t>PIC to PAD-EH (MOB-1 trailer genset onto the pad bus)</t>
        </is>
      </c>
      <c r="E1758" s="12" t="n">
        <v>13800</v>
      </c>
      <c r="F1758" s="12" t="n">
        <v>2000</v>
      </c>
      <c r="G1758" s="12" t="n">
        <v>93</v>
      </c>
      <c r="H1758" s="12" t="inlineStr">
        <is>
          <t>PIC: portable input cabinet</t>
        </is>
      </c>
      <c r="I1758" s="12" t="inlineStr">
        <is>
          <t>Portable MV</t>
        </is>
      </c>
      <c r="J1758" s="12" t="inlineStr">
        <is>
          <t>2</t>
        </is>
      </c>
      <c r="K1758" s="12" t="n">
        <v>1</v>
      </c>
    </row>
    <row r="1759">
      <c r="A1759" s="12" t="inlineStr">
        <is>
          <t>PIC: portable input cabinet</t>
        </is>
      </c>
      <c r="B1759" s="12" t="inlineStr">
        <is>
          <t>PIC</t>
        </is>
      </c>
      <c r="C1759" s="12" t="inlineStr">
        <is>
          <t>I</t>
        </is>
      </c>
      <c r="D1759" s="12" t="inlineStr">
        <is>
          <t>MOB-1 13.8 kV to PIC through the C-L01 ramp</t>
        </is>
      </c>
      <c r="E1759" s="12" t="n">
        <v>13800</v>
      </c>
      <c r="F1759" s="12" t="n">
        <v>2000</v>
      </c>
      <c r="G1759" s="12" t="n">
        <v>93</v>
      </c>
      <c r="H1759" s="12" t="inlineStr">
        <is>
          <t>MOB-1: trailer genset</t>
        </is>
      </c>
      <c r="I1759" s="12" t="inlineStr">
        <is>
          <t>Portable MV</t>
        </is>
      </c>
      <c r="J1759" s="12" t="inlineStr">
        <is>
          <t>2</t>
        </is>
      </c>
      <c r="K1759" s="12" t="n">
        <v>1</v>
      </c>
    </row>
    <row r="1760">
      <c r="A1760" s="12" t="inlineStr">
        <is>
          <t>TGF-SWG: mobile 13.8 kV switchgear trailer (fleet collector)</t>
        </is>
      </c>
      <c r="B1760" s="12" t="inlineStr">
        <is>
          <t>TGF-SWG</t>
        </is>
      </c>
      <c r="C1760" s="12" t="inlineStr">
        <is>
          <t>I</t>
        </is>
      </c>
      <c r="D1760" s="12" t="inlineStr">
        <is>
          <t>TGF-1 13.8 kV leads to the switchgear trailer</t>
        </is>
      </c>
      <c r="E1760" s="12" t="n">
        <v>13800</v>
      </c>
      <c r="F1760" s="12" t="n">
        <v>2500</v>
      </c>
      <c r="G1760" s="12" t="n">
        <v>105</v>
      </c>
      <c r="H1760" s="12" t="inlineStr">
        <is>
          <t>TGF-1: trailer-mounted gas-engine generator ~2.5 MW, 13.8 kV</t>
        </is>
      </c>
      <c r="I1760" s="12" t="inlineStr">
        <is>
          <t>Portable MV</t>
        </is>
      </c>
      <c r="J1760" s="12" t="inlineStr">
        <is>
          <t>2</t>
        </is>
      </c>
      <c r="K1760" s="12" t="n">
        <v>1</v>
      </c>
    </row>
    <row r="1761">
      <c r="A1761" s="12" t="inlineStr">
        <is>
          <t>TGF-SWG: mobile 13.8 kV switchgear trailer (fleet collector)</t>
        </is>
      </c>
      <c r="B1761" s="12" t="inlineStr">
        <is>
          <t>TGF-SWG</t>
        </is>
      </c>
      <c r="C1761" s="12" t="inlineStr">
        <is>
          <t>I</t>
        </is>
      </c>
      <c r="D1761" s="12" t="inlineStr">
        <is>
          <t>TGF-2 13.8 kV leads to the switchgear trailer</t>
        </is>
      </c>
      <c r="E1761" s="12" t="n">
        <v>13800</v>
      </c>
      <c r="F1761" s="12" t="n">
        <v>2500</v>
      </c>
      <c r="G1761" s="12" t="n">
        <v>105</v>
      </c>
      <c r="H1761" s="12" t="inlineStr">
        <is>
          <t>TGF-2: trailer-mounted gas-engine generator ~2.5 MW, 13.8 kV</t>
        </is>
      </c>
      <c r="I1761" s="12" t="inlineStr">
        <is>
          <t>Portable MV</t>
        </is>
      </c>
      <c r="J1761" s="12" t="inlineStr">
        <is>
          <t>2</t>
        </is>
      </c>
      <c r="K1761" s="12" t="n">
        <v>1</v>
      </c>
    </row>
    <row r="1762">
      <c r="A1762" s="12" t="inlineStr">
        <is>
          <t>TGF-SWG: mobile 13.8 kV switchgear trailer (fleet collector)</t>
        </is>
      </c>
      <c r="B1762" s="12" t="inlineStr">
        <is>
          <t>TGF-SWG</t>
        </is>
      </c>
      <c r="C1762" s="12" t="inlineStr">
        <is>
          <t>I</t>
        </is>
      </c>
      <c r="D1762" s="12" t="inlineStr">
        <is>
          <t>TGF-3 13.8 kV leads to the switchgear trailer</t>
        </is>
      </c>
      <c r="E1762" s="12" t="n">
        <v>13800</v>
      </c>
      <c r="F1762" s="12" t="n">
        <v>2500</v>
      </c>
      <c r="G1762" s="12" t="n">
        <v>105</v>
      </c>
      <c r="H1762" s="12" t="inlineStr">
        <is>
          <t>TGF-3: trailer-mounted gas-engine generator ~2.5 MW, 13.8 kV</t>
        </is>
      </c>
      <c r="I1762" s="12" t="inlineStr">
        <is>
          <t>Portable MV</t>
        </is>
      </c>
      <c r="J1762" s="12" t="inlineStr">
        <is>
          <t>2</t>
        </is>
      </c>
      <c r="K1762" s="12" t="n">
        <v>1</v>
      </c>
    </row>
    <row r="1763">
      <c r="A1763" s="12" t="inlineStr">
        <is>
          <t>TGF-SWG: mobile 13.8 kV switchgear trailer (fleet collector)</t>
        </is>
      </c>
      <c r="B1763" s="12" t="inlineStr">
        <is>
          <t>TGF-SWG</t>
        </is>
      </c>
      <c r="C1763" s="12" t="inlineStr">
        <is>
          <t>I</t>
        </is>
      </c>
      <c r="D1763" s="12" t="inlineStr">
        <is>
          <t>TGF-4 13.8 kV leads to the switchgear trailer</t>
        </is>
      </c>
      <c r="E1763" s="12" t="n">
        <v>13800</v>
      </c>
      <c r="F1763" s="12" t="n">
        <v>2500</v>
      </c>
      <c r="G1763" s="12" t="n">
        <v>105</v>
      </c>
      <c r="H1763" s="12" t="inlineStr">
        <is>
          <t>TGF-4: trailer-mounted gas-engine generator ~2.5 MW, 13.8 kV</t>
        </is>
      </c>
      <c r="I1763" s="12" t="inlineStr">
        <is>
          <t>Portable MV</t>
        </is>
      </c>
      <c r="J1763" s="12" t="inlineStr">
        <is>
          <t>2</t>
        </is>
      </c>
      <c r="K1763" s="12" t="n">
        <v>1</v>
      </c>
    </row>
    <row r="1764">
      <c r="A1764" s="12" t="inlineStr">
        <is>
          <t>TGF-SWG: mobile 13.8 kV switchgear trailer (fleet collector)</t>
        </is>
      </c>
      <c r="B1764" s="12" t="inlineStr">
        <is>
          <t>TGF-SWG</t>
        </is>
      </c>
      <c r="C1764" s="12" t="inlineStr">
        <is>
          <t>I</t>
        </is>
      </c>
      <c r="D1764" s="12" t="inlineStr">
        <is>
          <t>TGF-5 13.8 kV leads to the switchgear trailer</t>
        </is>
      </c>
      <c r="E1764" s="12" t="n">
        <v>13800</v>
      </c>
      <c r="F1764" s="12" t="n">
        <v>2500</v>
      </c>
      <c r="G1764" s="12" t="n">
        <v>105</v>
      </c>
      <c r="H1764" s="12" t="inlineStr">
        <is>
          <t>TGF-5: trailer-mounted gas-engine generator ~2.5 MW, 13.8 kV</t>
        </is>
      </c>
      <c r="I1764" s="12" t="inlineStr">
        <is>
          <t>Portable MV</t>
        </is>
      </c>
      <c r="J1764" s="12" t="inlineStr">
        <is>
          <t>2</t>
        </is>
      </c>
      <c r="K1764" s="12" t="n">
        <v>1</v>
      </c>
    </row>
    <row r="1765">
      <c r="A1765" s="12" t="inlineStr">
        <is>
          <t>TGF-SWG: mobile 13.8 kV switchgear trailer (fleet collector)</t>
        </is>
      </c>
      <c r="B1765" s="12" t="inlineStr">
        <is>
          <t>TGF-SWG</t>
        </is>
      </c>
      <c r="C1765" s="12" t="inlineStr">
        <is>
          <t>I</t>
        </is>
      </c>
      <c r="D1765" s="12" t="inlineStr">
        <is>
          <t>TGF-6 13.8 kV leads to the switchgear trailer</t>
        </is>
      </c>
      <c r="E1765" s="12" t="n">
        <v>13800</v>
      </c>
      <c r="F1765" s="12" t="n">
        <v>2500</v>
      </c>
      <c r="G1765" s="12" t="n">
        <v>105</v>
      </c>
      <c r="H1765" s="12" t="inlineStr">
        <is>
          <t>TGF-6: trailer-mounted gas-engine generator ~2.5 MW, 13.8 kV</t>
        </is>
      </c>
      <c r="I1765" s="12" t="inlineStr">
        <is>
          <t>Portable MV</t>
        </is>
      </c>
      <c r="J1765" s="12" t="inlineStr">
        <is>
          <t>2</t>
        </is>
      </c>
      <c r="K1765" s="12" t="n">
        <v>1</v>
      </c>
    </row>
    <row r="1766">
      <c r="A1766" s="12" t="inlineStr">
        <is>
          <t>CHW pumps</t>
        </is>
      </c>
      <c r="B1766" s="12" t="inlineStr"/>
      <c r="C1766" s="12" t="inlineStr">
        <is>
          <t>J</t>
        </is>
      </c>
      <c r="D1766" s="12" t="inlineStr">
        <is>
          <t>Motor 1 of 4, 150 kW</t>
        </is>
      </c>
      <c r="E1766" s="12" t="n">
        <v>480</v>
      </c>
      <c r="F1766" s="12" t="n">
        <v>150</v>
      </c>
      <c r="G1766" s="12" t="n">
        <v>212.3</v>
      </c>
      <c r="H1766" s="12" t="inlineStr">
        <is>
          <t>Inlet-chilling e-house / transformer</t>
        </is>
      </c>
      <c r="I1766" s="12" t="inlineStr">
        <is>
          <t>LV 600 V</t>
        </is>
      </c>
      <c r="J1766" s="12" t="inlineStr">
        <is>
          <t>350 kcmil</t>
        </is>
      </c>
      <c r="K1766" s="12" t="n">
        <v>1</v>
      </c>
    </row>
    <row r="1767">
      <c r="A1767" s="12" t="inlineStr">
        <is>
          <t>CHW pumps</t>
        </is>
      </c>
      <c r="B1767" s="12" t="inlineStr"/>
      <c r="C1767" s="12" t="inlineStr">
        <is>
          <t>J</t>
        </is>
      </c>
      <c r="D1767" s="12" t="inlineStr">
        <is>
          <t>Motor 2 of 4, 150 kW</t>
        </is>
      </c>
      <c r="E1767" s="12" t="n">
        <v>480</v>
      </c>
      <c r="F1767" s="12" t="n">
        <v>150</v>
      </c>
      <c r="G1767" s="12" t="n">
        <v>212.3</v>
      </c>
      <c r="H1767" s="12" t="inlineStr">
        <is>
          <t>Inlet-chilling e-house / transformer</t>
        </is>
      </c>
      <c r="I1767" s="12" t="inlineStr">
        <is>
          <t>LV 600 V</t>
        </is>
      </c>
      <c r="J1767" s="12" t="inlineStr">
        <is>
          <t>350 kcmil</t>
        </is>
      </c>
      <c r="K1767" s="12" t="n">
        <v>1</v>
      </c>
    </row>
    <row r="1768">
      <c r="A1768" s="12" t="inlineStr">
        <is>
          <t>CHW pumps</t>
        </is>
      </c>
      <c r="B1768" s="12" t="inlineStr"/>
      <c r="C1768" s="12" t="inlineStr">
        <is>
          <t>J</t>
        </is>
      </c>
      <c r="D1768" s="12" t="inlineStr">
        <is>
          <t>Motor 3 of 4, 150 kW</t>
        </is>
      </c>
      <c r="E1768" s="12" t="n">
        <v>480</v>
      </c>
      <c r="F1768" s="12" t="n">
        <v>150</v>
      </c>
      <c r="G1768" s="12" t="n">
        <v>212.3</v>
      </c>
      <c r="H1768" s="12" t="inlineStr">
        <is>
          <t>Inlet-chilling e-house / transformer</t>
        </is>
      </c>
      <c r="I1768" s="12" t="inlineStr">
        <is>
          <t>LV 600 V</t>
        </is>
      </c>
      <c r="J1768" s="12" t="inlineStr">
        <is>
          <t>350 kcmil</t>
        </is>
      </c>
      <c r="K1768" s="12" t="n">
        <v>1</v>
      </c>
    </row>
    <row r="1769">
      <c r="A1769" s="12" t="inlineStr">
        <is>
          <t>CHW pumps</t>
        </is>
      </c>
      <c r="B1769" s="12" t="inlineStr"/>
      <c r="C1769" s="12" t="inlineStr">
        <is>
          <t>J</t>
        </is>
      </c>
      <c r="D1769" s="12" t="inlineStr">
        <is>
          <t>Motor 4 of 4, 150 kW</t>
        </is>
      </c>
      <c r="E1769" s="12" t="n">
        <v>480</v>
      </c>
      <c r="F1769" s="12" t="n">
        <v>150</v>
      </c>
      <c r="G1769" s="12" t="n">
        <v>212.3</v>
      </c>
      <c r="H1769" s="12" t="inlineStr">
        <is>
          <t>Inlet-chilling e-house / transformer</t>
        </is>
      </c>
      <c r="I1769" s="12" t="inlineStr">
        <is>
          <t>LV 600 V</t>
        </is>
      </c>
      <c r="J1769" s="12" t="inlineStr">
        <is>
          <t>350 kcmil</t>
        </is>
      </c>
      <c r="K1769" s="12" t="n">
        <v>1</v>
      </c>
    </row>
    <row r="1770">
      <c r="A1770" s="12" t="inlineStr">
        <is>
          <t>CONDITIONAL: TES chilled-water tank</t>
        </is>
      </c>
      <c r="B1770" s="12" t="inlineStr"/>
      <c r="C1770" s="12" t="inlineStr">
        <is>
          <t>J</t>
        </is>
      </c>
      <c r="D1770" s="12" t="inlineStr">
        <is>
          <t>LV power feeder</t>
        </is>
      </c>
      <c r="E1770" s="12" t="n">
        <v>480</v>
      </c>
      <c r="F1770" s="12" t="n">
        <v>10</v>
      </c>
      <c r="G1770" s="12" t="n">
        <v>14.2</v>
      </c>
      <c r="H1770" s="12" t="inlineStr">
        <is>
          <t>Inlet-chilling e-house / transformer</t>
        </is>
      </c>
      <c r="I1770" s="12" t="inlineStr">
        <is>
          <t>LV 600 V</t>
        </is>
      </c>
      <c r="J1770" s="12" t="inlineStr">
        <is>
          <t>8</t>
        </is>
      </c>
      <c r="K1770" s="12" t="n">
        <v>1</v>
      </c>
    </row>
    <row r="1771">
      <c r="A1771" s="12" t="inlineStr">
        <is>
          <t>Chillers x6 (water-cooled)</t>
        </is>
      </c>
      <c r="B1771" s="12" t="inlineStr"/>
      <c r="C1771" s="12" t="inlineStr">
        <is>
          <t>J</t>
        </is>
      </c>
      <c r="D1771" s="12" t="inlineStr">
        <is>
          <t>Motor 1 of 6, 7 kW</t>
        </is>
      </c>
      <c r="E1771" s="12" t="n">
        <v>480</v>
      </c>
      <c r="F1771" s="12" t="n">
        <v>7</v>
      </c>
      <c r="G1771" s="12" t="n">
        <v>9.9</v>
      </c>
      <c r="H1771" s="12" t="inlineStr">
        <is>
          <t>Inlet-chilling e-house / transformer</t>
        </is>
      </c>
      <c r="I1771" s="12" t="inlineStr">
        <is>
          <t>LV 600 V</t>
        </is>
      </c>
      <c r="J1771" s="12" t="inlineStr">
        <is>
          <t>10</t>
        </is>
      </c>
      <c r="K1771" s="12" t="n">
        <v>1</v>
      </c>
    </row>
    <row r="1772">
      <c r="A1772" s="12" t="inlineStr">
        <is>
          <t>Chillers x6 (water-cooled)</t>
        </is>
      </c>
      <c r="B1772" s="12" t="inlineStr"/>
      <c r="C1772" s="12" t="inlineStr">
        <is>
          <t>J</t>
        </is>
      </c>
      <c r="D1772" s="12" t="inlineStr">
        <is>
          <t>Motor 2 of 6, 7 kW</t>
        </is>
      </c>
      <c r="E1772" s="12" t="n">
        <v>480</v>
      </c>
      <c r="F1772" s="12" t="n">
        <v>7</v>
      </c>
      <c r="G1772" s="12" t="n">
        <v>9.9</v>
      </c>
      <c r="H1772" s="12" t="inlineStr">
        <is>
          <t>Inlet-chilling e-house / transformer</t>
        </is>
      </c>
      <c r="I1772" s="12" t="inlineStr">
        <is>
          <t>LV 600 V</t>
        </is>
      </c>
      <c r="J1772" s="12" t="inlineStr">
        <is>
          <t>10</t>
        </is>
      </c>
      <c r="K1772" s="12" t="n">
        <v>1</v>
      </c>
    </row>
    <row r="1773">
      <c r="A1773" s="12" t="inlineStr">
        <is>
          <t>Chillers x6 (water-cooled)</t>
        </is>
      </c>
      <c r="B1773" s="12" t="inlineStr"/>
      <c r="C1773" s="12" t="inlineStr">
        <is>
          <t>J</t>
        </is>
      </c>
      <c r="D1773" s="12" t="inlineStr">
        <is>
          <t>Motor 3 of 6, 7 kW</t>
        </is>
      </c>
      <c r="E1773" s="12" t="n">
        <v>480</v>
      </c>
      <c r="F1773" s="12" t="n">
        <v>7</v>
      </c>
      <c r="G1773" s="12" t="n">
        <v>9.9</v>
      </c>
      <c r="H1773" s="12" t="inlineStr">
        <is>
          <t>Inlet-chilling e-house / transformer</t>
        </is>
      </c>
      <c r="I1773" s="12" t="inlineStr">
        <is>
          <t>LV 600 V</t>
        </is>
      </c>
      <c r="J1773" s="12" t="inlineStr">
        <is>
          <t>10</t>
        </is>
      </c>
      <c r="K1773" s="12" t="n">
        <v>1</v>
      </c>
    </row>
    <row r="1774">
      <c r="A1774" s="12" t="inlineStr">
        <is>
          <t>Chillers x6 (water-cooled)</t>
        </is>
      </c>
      <c r="B1774" s="12" t="inlineStr"/>
      <c r="C1774" s="12" t="inlineStr">
        <is>
          <t>J</t>
        </is>
      </c>
      <c r="D1774" s="12" t="inlineStr">
        <is>
          <t>Motor 4 of 6, 7 kW</t>
        </is>
      </c>
      <c r="E1774" s="12" t="n">
        <v>480</v>
      </c>
      <c r="F1774" s="12" t="n">
        <v>7</v>
      </c>
      <c r="G1774" s="12" t="n">
        <v>9.9</v>
      </c>
      <c r="H1774" s="12" t="inlineStr">
        <is>
          <t>Inlet-chilling e-house / transformer</t>
        </is>
      </c>
      <c r="I1774" s="12" t="inlineStr">
        <is>
          <t>LV 600 V</t>
        </is>
      </c>
      <c r="J1774" s="12" t="inlineStr">
        <is>
          <t>10</t>
        </is>
      </c>
      <c r="K1774" s="12" t="n">
        <v>1</v>
      </c>
    </row>
    <row r="1775">
      <c r="A1775" s="12" t="inlineStr">
        <is>
          <t>Chillers x6 (water-cooled)</t>
        </is>
      </c>
      <c r="B1775" s="12" t="inlineStr"/>
      <c r="C1775" s="12" t="inlineStr">
        <is>
          <t>J</t>
        </is>
      </c>
      <c r="D1775" s="12" t="inlineStr">
        <is>
          <t>Motor 5 of 6, 7 kW</t>
        </is>
      </c>
      <c r="E1775" s="12" t="n">
        <v>480</v>
      </c>
      <c r="F1775" s="12" t="n">
        <v>7</v>
      </c>
      <c r="G1775" s="12" t="n">
        <v>9.9</v>
      </c>
      <c r="H1775" s="12" t="inlineStr">
        <is>
          <t>Inlet-chilling e-house / transformer</t>
        </is>
      </c>
      <c r="I1775" s="12" t="inlineStr">
        <is>
          <t>LV 600 V</t>
        </is>
      </c>
      <c r="J1775" s="12" t="inlineStr">
        <is>
          <t>10</t>
        </is>
      </c>
      <c r="K1775" s="12" t="n">
        <v>1</v>
      </c>
    </row>
    <row r="1776">
      <c r="A1776" s="12" t="inlineStr">
        <is>
          <t>Chillers x6 (water-cooled)</t>
        </is>
      </c>
      <c r="B1776" s="12" t="inlineStr"/>
      <c r="C1776" s="12" t="inlineStr">
        <is>
          <t>J</t>
        </is>
      </c>
      <c r="D1776" s="12" t="inlineStr">
        <is>
          <t>Motor 6 of 6, 7 kW</t>
        </is>
      </c>
      <c r="E1776" s="12" t="n">
        <v>480</v>
      </c>
      <c r="F1776" s="12" t="n">
        <v>7</v>
      </c>
      <c r="G1776" s="12" t="n">
        <v>9.9</v>
      </c>
      <c r="H1776" s="12" t="inlineStr">
        <is>
          <t>Inlet-chilling e-house / transformer</t>
        </is>
      </c>
      <c r="I1776" s="12" t="inlineStr">
        <is>
          <t>LV 600 V</t>
        </is>
      </c>
      <c r="J1776" s="12" t="inlineStr">
        <is>
          <t>10</t>
        </is>
      </c>
      <c r="K1776" s="12" t="n">
        <v>1</v>
      </c>
    </row>
    <row r="1777">
      <c r="A1777" s="12" t="inlineStr">
        <is>
          <t>Inlet-chilling tower (12 cells): chiller heat rejection</t>
        </is>
      </c>
      <c r="B1777" s="12" t="inlineStr"/>
      <c r="C1777" s="12" t="inlineStr">
        <is>
          <t>J</t>
        </is>
      </c>
      <c r="D1777" s="12" t="inlineStr">
        <is>
          <t>Motor 1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2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3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4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5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Motor 6 of 12, 75 kW (VFD output)</t>
        </is>
      </c>
      <c r="E1782" s="12" t="n">
        <v>480</v>
      </c>
      <c r="F1782" s="12" t="n">
        <v>75</v>
      </c>
      <c r="G1782" s="12" t="n">
        <v>106</v>
      </c>
      <c r="H1782" s="12" t="inlineStr">
        <is>
          <t>Inlet-chilling e-house / transformer</t>
        </is>
      </c>
      <c r="I1782" s="12" t="inlineStr">
        <is>
          <t>LV 600 V</t>
        </is>
      </c>
      <c r="J1782" s="12" t="inlineStr">
        <is>
          <t>2/0</t>
        </is>
      </c>
      <c r="K1782" s="12" t="n">
        <v>1</v>
      </c>
    </row>
    <row r="1783">
      <c r="A1783" s="12" t="inlineStr">
        <is>
          <t>Inlet-chilling tower (12 cells): chiller heat rejection</t>
        </is>
      </c>
      <c r="B1783" s="12" t="inlineStr"/>
      <c r="C1783" s="12" t="inlineStr">
        <is>
          <t>J</t>
        </is>
      </c>
      <c r="D1783" s="12" t="inlineStr">
        <is>
          <t>Motor 7 of 12, 75 kW (VFD output)</t>
        </is>
      </c>
      <c r="E1783" s="12" t="n">
        <v>480</v>
      </c>
      <c r="F1783" s="12" t="n">
        <v>75</v>
      </c>
      <c r="G1783" s="12" t="n">
        <v>106</v>
      </c>
      <c r="H1783" s="12" t="inlineStr">
        <is>
          <t>Inlet-chilling e-house / transformer</t>
        </is>
      </c>
      <c r="I1783" s="12" t="inlineStr">
        <is>
          <t>LV 600 V</t>
        </is>
      </c>
      <c r="J1783" s="12" t="inlineStr">
        <is>
          <t>2/0</t>
        </is>
      </c>
      <c r="K1783" s="12" t="n">
        <v>1</v>
      </c>
    </row>
    <row r="1784">
      <c r="A1784" s="12" t="inlineStr">
        <is>
          <t>Inlet-chilling tower (12 cells): chiller heat rejection</t>
        </is>
      </c>
      <c r="B1784" s="12" t="inlineStr"/>
      <c r="C1784" s="12" t="inlineStr">
        <is>
          <t>J</t>
        </is>
      </c>
      <c r="D1784" s="12" t="inlineStr">
        <is>
          <t>Motor 8 of 12, 75 kW (VFD output)</t>
        </is>
      </c>
      <c r="E1784" s="12" t="n">
        <v>480</v>
      </c>
      <c r="F1784" s="12" t="n">
        <v>75</v>
      </c>
      <c r="G1784" s="12" t="n">
        <v>106</v>
      </c>
      <c r="H1784" s="12" t="inlineStr">
        <is>
          <t>Inlet-chilling e-house / transformer</t>
        </is>
      </c>
      <c r="I1784" s="12" t="inlineStr">
        <is>
          <t>LV 600 V</t>
        </is>
      </c>
      <c r="J1784" s="12" t="inlineStr">
        <is>
          <t>2/0</t>
        </is>
      </c>
      <c r="K1784" s="12" t="n">
        <v>1</v>
      </c>
    </row>
    <row r="1785">
      <c r="A1785" s="12" t="inlineStr">
        <is>
          <t>Inlet-chilling tower (12 cells): chiller heat rejection</t>
        </is>
      </c>
      <c r="B1785" s="12" t="inlineStr"/>
      <c r="C1785" s="12" t="inlineStr">
        <is>
          <t>J</t>
        </is>
      </c>
      <c r="D1785" s="12" t="inlineStr">
        <is>
          <t>Motor 9 of 12, 75 kW (VFD output)</t>
        </is>
      </c>
      <c r="E1785" s="12" t="n">
        <v>480</v>
      </c>
      <c r="F1785" s="12" t="n">
        <v>75</v>
      </c>
      <c r="G1785" s="12" t="n">
        <v>106</v>
      </c>
      <c r="H1785" s="12" t="inlineStr">
        <is>
          <t>Inlet-chilling e-house / transformer</t>
        </is>
      </c>
      <c r="I1785" s="12" t="inlineStr">
        <is>
          <t>LV 600 V</t>
        </is>
      </c>
      <c r="J1785" s="12" t="inlineStr">
        <is>
          <t>2/0</t>
        </is>
      </c>
      <c r="K1785" s="12" t="n">
        <v>1</v>
      </c>
    </row>
    <row r="1786">
      <c r="A1786" s="12" t="inlineStr">
        <is>
          <t>Inlet-chilling tower (12 cells): chiller heat rejection</t>
        </is>
      </c>
      <c r="B1786" s="12" t="inlineStr"/>
      <c r="C1786" s="12" t="inlineStr">
        <is>
          <t>J</t>
        </is>
      </c>
      <c r="D1786" s="12" t="inlineStr">
        <is>
          <t>Motor 10 of 12, 75 kW (VFD output)</t>
        </is>
      </c>
      <c r="E1786" s="12" t="n">
        <v>480</v>
      </c>
      <c r="F1786" s="12" t="n">
        <v>75</v>
      </c>
      <c r="G1786" s="12" t="n">
        <v>106</v>
      </c>
      <c r="H1786" s="12" t="inlineStr">
        <is>
          <t>Inlet-chilling e-house / transformer</t>
        </is>
      </c>
      <c r="I1786" s="12" t="inlineStr">
        <is>
          <t>LV 600 V</t>
        </is>
      </c>
      <c r="J1786" s="12" t="inlineStr">
        <is>
          <t>2/0</t>
        </is>
      </c>
      <c r="K1786" s="12" t="n">
        <v>1</v>
      </c>
    </row>
    <row r="1787">
      <c r="A1787" s="12" t="inlineStr">
        <is>
          <t>Inlet-chilling tower (12 cells): chiller heat rejection</t>
        </is>
      </c>
      <c r="B1787" s="12" t="inlineStr"/>
      <c r="C1787" s="12" t="inlineStr">
        <is>
          <t>J</t>
        </is>
      </c>
      <c r="D1787" s="12" t="inlineStr">
        <is>
          <t>Motor 11 of 12, 75 kW (VFD output)</t>
        </is>
      </c>
      <c r="E1787" s="12" t="n">
        <v>480</v>
      </c>
      <c r="F1787" s="12" t="n">
        <v>75</v>
      </c>
      <c r="G1787" s="12" t="n">
        <v>106</v>
      </c>
      <c r="H1787" s="12" t="inlineStr">
        <is>
          <t>Inlet-chilling e-house / transformer</t>
        </is>
      </c>
      <c r="I1787" s="12" t="inlineStr">
        <is>
          <t>LV 600 V</t>
        </is>
      </c>
      <c r="J1787" s="12" t="inlineStr">
        <is>
          <t>2/0</t>
        </is>
      </c>
      <c r="K1787" s="12" t="n">
        <v>1</v>
      </c>
    </row>
    <row r="1788">
      <c r="A1788" s="12" t="inlineStr">
        <is>
          <t>Inlet-chilling tower (12 cells): chiller heat rejection</t>
        </is>
      </c>
      <c r="B1788" s="12" t="inlineStr"/>
      <c r="C1788" s="12" t="inlineStr">
        <is>
          <t>J</t>
        </is>
      </c>
      <c r="D1788" s="12" t="inlineStr">
        <is>
          <t>Motor 12 of 12, 75 kW (VFD output)</t>
        </is>
      </c>
      <c r="E1788" s="12" t="n">
        <v>480</v>
      </c>
      <c r="F1788" s="12" t="n">
        <v>75</v>
      </c>
      <c r="G1788" s="12" t="n">
        <v>106</v>
      </c>
      <c r="H1788" s="12" t="inlineStr">
        <is>
          <t>Inlet-chilling e-house / transformer</t>
        </is>
      </c>
      <c r="I1788" s="12" t="inlineStr">
        <is>
          <t>LV 600 V</t>
        </is>
      </c>
      <c r="J1788" s="12" t="inlineStr">
        <is>
          <t>2/0</t>
        </is>
      </c>
      <c r="K1788" s="12" t="n">
        <v>1</v>
      </c>
    </row>
    <row r="1789">
      <c r="A1789" s="12" t="inlineStr">
        <is>
          <t>Inlet-chilling tower (12 cells): chiller heat rejection</t>
        </is>
      </c>
      <c r="B1789" s="12" t="inlineStr"/>
      <c r="C1789" s="12" t="inlineStr">
        <is>
          <t>J</t>
        </is>
      </c>
      <c r="D1789" s="12" t="inlineStr">
        <is>
          <t>Area / platform lighting circuit 1 (12 fixtures)</t>
        </is>
      </c>
      <c r="E1789" s="12" t="n">
        <v>480</v>
      </c>
      <c r="F1789" s="12" t="n">
        <v>3</v>
      </c>
      <c r="G1789" s="12" t="n">
        <v>5</v>
      </c>
      <c r="H1789" s="12" t="inlineStr">
        <is>
          <t>Inlet-chilling e-house / transformer</t>
        </is>
      </c>
      <c r="I1789" s="12" t="inlineStr">
        <is>
          <t>LV 600 V</t>
        </is>
      </c>
      <c r="J1789" s="12" t="inlineStr">
        <is>
          <t>10</t>
        </is>
      </c>
      <c r="K1789" s="12" t="n">
        <v>1</v>
      </c>
    </row>
    <row r="1790">
      <c r="A1790" s="12" t="inlineStr">
        <is>
          <t>Inlet-chilling e-house / transformer</t>
        </is>
      </c>
      <c r="B1790" s="12" t="inlineStr"/>
      <c r="C1790" s="12" t="inlineStr">
        <is>
          <t>J</t>
        </is>
      </c>
      <c r="D1790" s="12" t="inlineStr">
        <is>
          <t>Inlet-chilling e-house / transformer</t>
        </is>
      </c>
      <c r="E1790" s="12" t="n">
        <v>13800</v>
      </c>
      <c r="F1790" s="12" t="n">
        <v>12000</v>
      </c>
      <c r="G1790" s="12" t="n">
        <v>502</v>
      </c>
      <c r="H1790" s="12" t="inlineStr">
        <is>
          <t>R1 SWGR-13.8-1 (11 x 36 in cubicles, 15 kV metal-clad)</t>
        </is>
      </c>
      <c r="I1790" s="12" t="inlineStr">
        <is>
          <t>MV 15 kV</t>
        </is>
      </c>
      <c r="J1790" s="12" t="inlineStr">
        <is>
          <t>1000 kcmil</t>
        </is>
      </c>
      <c r="K1790" s="12" t="n">
        <v>1</v>
      </c>
    </row>
    <row r="1791">
      <c r="A1791" s="12" t="inlineStr">
        <is>
          <t>CW pumps (inlet chilling)</t>
        </is>
      </c>
      <c r="B1791" s="12" t="inlineStr"/>
      <c r="C1791" s="12" t="inlineStr">
        <is>
          <t>J</t>
        </is>
      </c>
      <c r="D1791" s="12" t="inlineStr">
        <is>
          <t>Inlet-chilling CW pump 1</t>
        </is>
      </c>
      <c r="E1791" s="12" t="n">
        <v>4160</v>
      </c>
      <c r="F1791" s="12" t="n">
        <v>450</v>
      </c>
      <c r="G1791" s="12" t="n">
        <v>69</v>
      </c>
      <c r="H1791" s="12" t="inlineStr">
        <is>
          <t>Inlet-chilling e-house / transformer</t>
        </is>
      </c>
      <c r="I1791" s="12" t="inlineStr">
        <is>
          <t>MV 5 kV</t>
        </is>
      </c>
      <c r="J1791" s="12" t="inlineStr">
        <is>
          <t>2</t>
        </is>
      </c>
      <c r="K1791" s="12" t="n">
        <v>1</v>
      </c>
    </row>
    <row r="1792">
      <c r="A1792" s="12" t="inlineStr">
        <is>
          <t>CW pumps (inlet chilling)</t>
        </is>
      </c>
      <c r="B1792" s="12" t="inlineStr"/>
      <c r="C1792" s="12" t="inlineStr">
        <is>
          <t>J</t>
        </is>
      </c>
      <c r="D1792" s="12" t="inlineStr">
        <is>
          <t>Inlet-chilling CW pump 2</t>
        </is>
      </c>
      <c r="E1792" s="12" t="n">
        <v>4160</v>
      </c>
      <c r="F1792" s="12" t="n">
        <v>450</v>
      </c>
      <c r="G1792" s="12" t="n">
        <v>69</v>
      </c>
      <c r="H1792" s="12" t="inlineStr">
        <is>
          <t>Inlet-chilling e-house / transformer</t>
        </is>
      </c>
      <c r="I1792" s="12" t="inlineStr">
        <is>
          <t>MV 5 kV</t>
        </is>
      </c>
      <c r="J1792" s="12" t="inlineStr">
        <is>
          <t>2</t>
        </is>
      </c>
      <c r="K1792" s="12" t="n">
        <v>1</v>
      </c>
    </row>
    <row r="1793">
      <c r="A1793" s="12" t="inlineStr">
        <is>
          <t>CW pumps (inlet chilling)</t>
        </is>
      </c>
      <c r="B1793" s="12" t="inlineStr"/>
      <c r="C1793" s="12" t="inlineStr">
        <is>
          <t>J</t>
        </is>
      </c>
      <c r="D1793" s="12" t="inlineStr">
        <is>
          <t>Inlet-chilling CW pump 3</t>
        </is>
      </c>
      <c r="E1793" s="12" t="n">
        <v>4160</v>
      </c>
      <c r="F1793" s="12" t="n">
        <v>450</v>
      </c>
      <c r="G1793" s="12" t="n">
        <v>69</v>
      </c>
      <c r="H1793" s="12" t="inlineStr">
        <is>
          <t>Inlet-chilling e-house / transformer</t>
        </is>
      </c>
      <c r="I1793" s="12" t="inlineStr">
        <is>
          <t>MV 5 kV</t>
        </is>
      </c>
      <c r="J1793" s="12" t="inlineStr">
        <is>
          <t>2</t>
        </is>
      </c>
      <c r="K1793" s="12" t="n">
        <v>1</v>
      </c>
    </row>
    <row r="1794">
      <c r="A1794" s="12" t="inlineStr">
        <is>
          <t>CW pumps (inlet chilling)</t>
        </is>
      </c>
      <c r="B1794" s="12" t="inlineStr"/>
      <c r="C1794" s="12" t="inlineStr">
        <is>
          <t>J</t>
        </is>
      </c>
      <c r="D1794" s="12" t="inlineStr">
        <is>
          <t>Inlet-chilling CW pump 4</t>
        </is>
      </c>
      <c r="E1794" s="12" t="n">
        <v>4160</v>
      </c>
      <c r="F1794" s="12" t="n">
        <v>450</v>
      </c>
      <c r="G1794" s="12" t="n">
        <v>69</v>
      </c>
      <c r="H1794" s="12" t="inlineStr">
        <is>
          <t>Inlet-chilling e-house / transformer</t>
        </is>
      </c>
      <c r="I1794" s="12" t="inlineStr">
        <is>
          <t>MV 5 kV</t>
        </is>
      </c>
      <c r="J1794" s="12" t="inlineStr">
        <is>
          <t>2</t>
        </is>
      </c>
      <c r="K1794" s="12" t="n">
        <v>1</v>
      </c>
    </row>
    <row r="1795">
      <c r="A1795" s="12" t="inlineStr">
        <is>
          <t>Chillers x6 (water-cooled)</t>
        </is>
      </c>
      <c r="B1795" s="12" t="inlineStr"/>
      <c r="C1795" s="12" t="inlineStr">
        <is>
          <t>J</t>
        </is>
      </c>
      <c r="D1795" s="12" t="inlineStr">
        <is>
          <t>Water-cooled chiller CH-1</t>
        </is>
      </c>
      <c r="E1795" s="12" t="n">
        <v>4160</v>
      </c>
      <c r="F1795" s="12" t="n">
        <v>1500</v>
      </c>
      <c r="G1795" s="12" t="n">
        <v>231</v>
      </c>
      <c r="H1795" s="12" t="inlineStr">
        <is>
          <t>Inlet-chilling e-house / transformer</t>
        </is>
      </c>
      <c r="I1795" s="12" t="inlineStr">
        <is>
          <t>MV 5 kV</t>
        </is>
      </c>
      <c r="J1795" s="12" t="inlineStr">
        <is>
          <t>250 kcmil</t>
        </is>
      </c>
      <c r="K1795" s="12" t="n">
        <v>1</v>
      </c>
    </row>
    <row r="1796">
      <c r="A1796" s="12" t="inlineStr">
        <is>
          <t>Chillers x6 (water-cooled)</t>
        </is>
      </c>
      <c r="B1796" s="12" t="inlineStr"/>
      <c r="C1796" s="12" t="inlineStr">
        <is>
          <t>J</t>
        </is>
      </c>
      <c r="D1796" s="12" t="inlineStr">
        <is>
          <t>Water-cooled chiller CH-2</t>
        </is>
      </c>
      <c r="E1796" s="12" t="n">
        <v>4160</v>
      </c>
      <c r="F1796" s="12" t="n">
        <v>1500</v>
      </c>
      <c r="G1796" s="12" t="n">
        <v>231</v>
      </c>
      <c r="H1796" s="12" t="inlineStr">
        <is>
          <t>Inlet-chilling e-house / transformer</t>
        </is>
      </c>
      <c r="I1796" s="12" t="inlineStr">
        <is>
          <t>MV 5 kV</t>
        </is>
      </c>
      <c r="J1796" s="12" t="inlineStr">
        <is>
          <t>250 kcmil</t>
        </is>
      </c>
      <c r="K1796" s="12" t="n">
        <v>1</v>
      </c>
    </row>
    <row r="1797">
      <c r="A1797" s="12" t="inlineStr">
        <is>
          <t>Chillers x6 (water-cooled)</t>
        </is>
      </c>
      <c r="B1797" s="12" t="inlineStr"/>
      <c r="C1797" s="12" t="inlineStr">
        <is>
          <t>J</t>
        </is>
      </c>
      <c r="D1797" s="12" t="inlineStr">
        <is>
          <t>Water-cooled chiller CH-3</t>
        </is>
      </c>
      <c r="E1797" s="12" t="n">
        <v>4160</v>
      </c>
      <c r="F1797" s="12" t="n">
        <v>1500</v>
      </c>
      <c r="G1797" s="12" t="n">
        <v>231</v>
      </c>
      <c r="H1797" s="12" t="inlineStr">
        <is>
          <t>Inlet-chilling e-house / transformer</t>
        </is>
      </c>
      <c r="I1797" s="12" t="inlineStr">
        <is>
          <t>MV 5 kV</t>
        </is>
      </c>
      <c r="J1797" s="12" t="inlineStr">
        <is>
          <t>250 kcmil</t>
        </is>
      </c>
      <c r="K1797" s="12" t="n">
        <v>1</v>
      </c>
    </row>
    <row r="1798">
      <c r="A1798" s="12" t="inlineStr">
        <is>
          <t>Chillers x6 (water-cooled)</t>
        </is>
      </c>
      <c r="B1798" s="12" t="inlineStr"/>
      <c r="C1798" s="12" t="inlineStr">
        <is>
          <t>J</t>
        </is>
      </c>
      <c r="D1798" s="12" t="inlineStr">
        <is>
          <t>Water-cooled chiller CH-4</t>
        </is>
      </c>
      <c r="E1798" s="12" t="n">
        <v>4160</v>
      </c>
      <c r="F1798" s="12" t="n">
        <v>1500</v>
      </c>
      <c r="G1798" s="12" t="n">
        <v>231</v>
      </c>
      <c r="H1798" s="12" t="inlineStr">
        <is>
          <t>Inlet-chilling e-house / transformer</t>
        </is>
      </c>
      <c r="I1798" s="12" t="inlineStr">
        <is>
          <t>MV 5 kV</t>
        </is>
      </c>
      <c r="J1798" s="12" t="inlineStr">
        <is>
          <t>250 kcmil</t>
        </is>
      </c>
      <c r="K1798" s="12" t="n">
        <v>1</v>
      </c>
    </row>
    <row r="1799">
      <c r="A1799" s="12" t="inlineStr">
        <is>
          <t>Chillers x6 (water-cooled)</t>
        </is>
      </c>
      <c r="B1799" s="12" t="inlineStr"/>
      <c r="C1799" s="12" t="inlineStr">
        <is>
          <t>J</t>
        </is>
      </c>
      <c r="D1799" s="12" t="inlineStr">
        <is>
          <t>Water-cooled chiller CH-5</t>
        </is>
      </c>
      <c r="E1799" s="12" t="n">
        <v>4160</v>
      </c>
      <c r="F1799" s="12" t="n">
        <v>1500</v>
      </c>
      <c r="G1799" s="12" t="n">
        <v>231</v>
      </c>
      <c r="H1799" s="12" t="inlineStr">
        <is>
          <t>Inlet-chilling e-house / transformer</t>
        </is>
      </c>
      <c r="I1799" s="12" t="inlineStr">
        <is>
          <t>MV 5 kV</t>
        </is>
      </c>
      <c r="J1799" s="12" t="inlineStr">
        <is>
          <t>250 kcmil</t>
        </is>
      </c>
      <c r="K1799" s="12" t="n">
        <v>1</v>
      </c>
    </row>
    <row r="1800">
      <c r="A1800" s="12" t="inlineStr">
        <is>
          <t>Chillers x6 (water-cooled)</t>
        </is>
      </c>
      <c r="B1800" s="12" t="inlineStr"/>
      <c r="C1800" s="12" t="inlineStr">
        <is>
          <t>J</t>
        </is>
      </c>
      <c r="D1800" s="12" t="inlineStr">
        <is>
          <t>Water-cooled chiller CH-6</t>
        </is>
      </c>
      <c r="E1800" s="12" t="n">
        <v>4160</v>
      </c>
      <c r="F1800" s="12" t="n">
        <v>1500</v>
      </c>
      <c r="G1800" s="12" t="n">
        <v>231</v>
      </c>
      <c r="H1800" s="12" t="inlineStr">
        <is>
          <t>Inlet-chilling e-house / transformer</t>
        </is>
      </c>
      <c r="I1800" s="12" t="inlineStr">
        <is>
          <t>MV 5 kV</t>
        </is>
      </c>
      <c r="J1800" s="12" t="inlineStr">
        <is>
          <t>250 kcmil</t>
        </is>
      </c>
      <c r="K1800" s="12" t="n">
        <v>1</v>
      </c>
    </row>
    <row r="1801">
      <c r="A1801" s="12" t="inlineStr">
        <is>
          <t>H2 19: T-H2 230/13.8 kV (about 40 MVA)</t>
        </is>
      </c>
      <c r="B1801" s="12" t="inlineStr">
        <is>
          <t>T-H2</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10</t>
        </is>
      </c>
      <c r="K1801" s="12" t="n">
        <v>1</v>
      </c>
    </row>
    <row r="1802">
      <c r="A1802" s="12" t="inlineStr">
        <is>
          <t>H2 20: 13.8 kV e-house</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21: rectifier transformer 1 (7 MVA)</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8</t>
        </is>
      </c>
      <c r="K1803" s="12" t="n">
        <v>1</v>
      </c>
    </row>
    <row r="1804">
      <c r="A1804" s="12" t="inlineStr">
        <is>
          <t>H2 21: rectifier transformer 2 (7 MVA)</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8</t>
        </is>
      </c>
      <c r="K1804" s="12" t="n">
        <v>1</v>
      </c>
    </row>
    <row r="1805">
      <c r="A1805" s="12" t="inlineStr">
        <is>
          <t>H2 21: rectifier transformer 3 (7 MVA)</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8</t>
        </is>
      </c>
      <c r="K1805" s="12" t="n">
        <v>1</v>
      </c>
    </row>
    <row r="1806">
      <c r="A1806" s="12" t="inlineStr">
        <is>
          <t>H2 21: rectifier transformer 4 (7 MVA)</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8</t>
        </is>
      </c>
      <c r="K1806" s="12" t="n">
        <v>1</v>
      </c>
    </row>
    <row r="1807">
      <c r="A1807" s="12" t="inlineStr">
        <is>
          <t>H2 21: rectifier transformer 5 (7 MVA)</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22: electrolyzer building (5 x 5 MW PEM + 5 rectifiers)</t>
        </is>
      </c>
      <c r="B1808" s="12" t="inlineStr">
        <is>
          <t>H2-EL</t>
        </is>
      </c>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8</t>
        </is>
      </c>
      <c r="K1808" s="12" t="n">
        <v>1</v>
      </c>
    </row>
    <row r="1809">
      <c r="A1809" s="12" t="inlineStr">
        <is>
          <t>H2 23: dry coolers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24: water purification (RO / EDI)</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25: H2 dryer / purification</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26: H2 compressor 1 (40 ft ISO)</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26: H2 compressor 2 (40 ft ISO)</t>
        </is>
      </c>
      <c r="B1813" s="12" t="inlineStr"/>
      <c r="C1813" s="12" t="inlineStr">
        <is>
          <t>K</t>
        </is>
      </c>
      <c r="D1813" s="12" t="inlineStr">
        <is>
          <t>Motor 1 of 1, 15 kW</t>
        </is>
      </c>
      <c r="E1813" s="12" t="n">
        <v>480</v>
      </c>
      <c r="F1813" s="12" t="n">
        <v>15</v>
      </c>
      <c r="G1813" s="12" t="n">
        <v>21.2</v>
      </c>
      <c r="H1813" s="12" t="inlineStr">
        <is>
          <t>H2 20: 13.8 kV e-house</t>
        </is>
      </c>
      <c r="I1813" s="12" t="inlineStr">
        <is>
          <t>LV 600 V</t>
        </is>
      </c>
      <c r="J1813" s="12" t="inlineStr">
        <is>
          <t>10</t>
        </is>
      </c>
      <c r="K1813" s="12" t="n">
        <v>1</v>
      </c>
    </row>
    <row r="1814">
      <c r="A1814" s="12" t="inlineStr">
        <is>
          <t>H2 27: storage tube bank (~40 ft tubes)</t>
        </is>
      </c>
      <c r="B1814" s="12" t="inlineStr"/>
      <c r="C1814" s="12" t="inlineStr">
        <is>
          <t>K</t>
        </is>
      </c>
      <c r="D1814" s="12" t="inlineStr">
        <is>
          <t>Motor 1 of 1, 15 kW</t>
        </is>
      </c>
      <c r="E1814" s="12" t="n">
        <v>480</v>
      </c>
      <c r="F1814" s="12" t="n">
        <v>15</v>
      </c>
      <c r="G1814" s="12" t="n">
        <v>21.2</v>
      </c>
      <c r="H1814" s="12" t="inlineStr">
        <is>
          <t>H2 20: 13.8 kV e-house</t>
        </is>
      </c>
      <c r="I1814" s="12" t="inlineStr">
        <is>
          <t>LV 600 V</t>
        </is>
      </c>
      <c r="J1814" s="12" t="inlineStr">
        <is>
          <t>10</t>
        </is>
      </c>
      <c r="K1814" s="12" t="n">
        <v>1</v>
      </c>
    </row>
    <row r="1815">
      <c r="A1815" s="12" t="inlineStr">
        <is>
          <t>H2 27: storage tube bank (~40 ft tubes)</t>
        </is>
      </c>
      <c r="B1815" s="12" t="inlineStr"/>
      <c r="C1815" s="12" t="inlineStr">
        <is>
          <t>K</t>
        </is>
      </c>
      <c r="D1815" s="12" t="inlineStr">
        <is>
          <t>Motor 1 of 1, 15 kW</t>
        </is>
      </c>
      <c r="E1815" s="12" t="n">
        <v>480</v>
      </c>
      <c r="F1815" s="12" t="n">
        <v>15</v>
      </c>
      <c r="G1815" s="12" t="n">
        <v>21.2</v>
      </c>
      <c r="H1815" s="12" t="inlineStr">
        <is>
          <t>H2 20: 13.8 kV e-house</t>
        </is>
      </c>
      <c r="I1815" s="12" t="inlineStr">
        <is>
          <t>LV 600 V</t>
        </is>
      </c>
      <c r="J1815" s="12" t="inlineStr">
        <is>
          <t>10</t>
        </is>
      </c>
      <c r="K1815" s="12" t="n">
        <v>1</v>
      </c>
    </row>
    <row r="1816">
      <c r="A1816" s="12" t="inlineStr">
        <is>
          <t>H2 27: storage tube bank (~40 ft tubes)</t>
        </is>
      </c>
      <c r="B1816" s="12" t="inlineStr"/>
      <c r="C1816" s="12" t="inlineStr">
        <is>
          <t>K</t>
        </is>
      </c>
      <c r="D1816" s="12" t="inlineStr">
        <is>
          <t>Motor 1 of 1, 15 kW</t>
        </is>
      </c>
      <c r="E1816" s="12" t="n">
        <v>480</v>
      </c>
      <c r="F1816" s="12" t="n">
        <v>15</v>
      </c>
      <c r="G1816" s="12" t="n">
        <v>21.2</v>
      </c>
      <c r="H1816" s="12" t="inlineStr">
        <is>
          <t>H2 20: 13.8 kV e-house</t>
        </is>
      </c>
      <c r="I1816" s="12" t="inlineStr">
        <is>
          <t>LV 600 V</t>
        </is>
      </c>
      <c r="J1816" s="12" t="inlineStr">
        <is>
          <t>10</t>
        </is>
      </c>
      <c r="K1816" s="12" t="n">
        <v>1</v>
      </c>
    </row>
    <row r="1817">
      <c r="A1817" s="12" t="inlineStr">
        <is>
          <t>H2 27: storage tube bank (~40 ft tubes)</t>
        </is>
      </c>
      <c r="B1817" s="12" t="inlineStr"/>
      <c r="C1817" s="12" t="inlineStr">
        <is>
          <t>K</t>
        </is>
      </c>
      <c r="D1817" s="12" t="inlineStr">
        <is>
          <t>Motor 1 of 1, 15 kW</t>
        </is>
      </c>
      <c r="E1817" s="12" t="n">
        <v>480</v>
      </c>
      <c r="F1817" s="12" t="n">
        <v>15</v>
      </c>
      <c r="G1817" s="12" t="n">
        <v>21.2</v>
      </c>
      <c r="H1817" s="12" t="inlineStr">
        <is>
          <t>H2 20: 13.8 kV e-house</t>
        </is>
      </c>
      <c r="I1817" s="12" t="inlineStr">
        <is>
          <t>LV 600 V</t>
        </is>
      </c>
      <c r="J1817" s="12" t="inlineStr">
        <is>
          <t>10</t>
        </is>
      </c>
      <c r="K1817" s="12" t="n">
        <v>1</v>
      </c>
    </row>
    <row r="1818">
      <c r="A1818" s="12" t="inlineStr">
        <is>
          <t>H2 28: N2 purge supply</t>
        </is>
      </c>
      <c r="B1818" s="12" t="inlineStr"/>
      <c r="C1818" s="12" t="inlineStr">
        <is>
          <t>K</t>
        </is>
      </c>
      <c r="D1818" s="12" t="inlineStr">
        <is>
          <t>Motor 1 of 1, 15 kW</t>
        </is>
      </c>
      <c r="E1818" s="12" t="n">
        <v>480</v>
      </c>
      <c r="F1818" s="12" t="n">
        <v>15</v>
      </c>
      <c r="G1818" s="12" t="n">
        <v>21.2</v>
      </c>
      <c r="H1818" s="12" t="inlineStr">
        <is>
          <t>H2 20: 13.8 kV e-house</t>
        </is>
      </c>
      <c r="I1818" s="12" t="inlineStr">
        <is>
          <t>LV 600 V</t>
        </is>
      </c>
      <c r="J1818" s="12" t="inlineStr">
        <is>
          <t>10</t>
        </is>
      </c>
      <c r="K1818" s="12" t="n">
        <v>1</v>
      </c>
    </row>
    <row r="1819">
      <c r="A1819" s="12" t="inlineStr">
        <is>
          <t>H2 29: vent stack</t>
        </is>
      </c>
      <c r="B1819" s="12" t="inlineStr"/>
      <c r="C1819" s="12" t="inlineStr">
        <is>
          <t>K</t>
        </is>
      </c>
      <c r="D1819" s="12" t="inlineStr">
        <is>
          <t>Motor 1 of 1, 15 kW</t>
        </is>
      </c>
      <c r="E1819" s="12" t="n">
        <v>480</v>
      </c>
      <c r="F1819" s="12" t="n">
        <v>15</v>
      </c>
      <c r="G1819" s="12" t="n">
        <v>21.2</v>
      </c>
      <c r="H1819" s="12" t="inlineStr">
        <is>
          <t>H2 20: 13.8 kV e-house</t>
        </is>
      </c>
      <c r="I1819" s="12" t="inlineStr">
        <is>
          <t>LV 600 V</t>
        </is>
      </c>
      <c r="J1819" s="12" t="inlineStr">
        <is>
          <t>10</t>
        </is>
      </c>
      <c r="K1819" s="12" t="n">
        <v>1</v>
      </c>
    </row>
    <row r="1820">
      <c r="A1820" s="12" t="inlineStr">
        <is>
          <t>H2 30: H2 / gas blending station (plant gas yard)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4</t>
        </is>
      </c>
      <c r="K1820" s="12" t="n">
        <v>1</v>
      </c>
    </row>
    <row r="1821">
      <c r="A1821" s="12" t="inlineStr">
        <is>
          <t>H2 pipe track and cable trench, hall -&gt; dryer / compressors (N2, instr</t>
        </is>
      </c>
      <c r="B1821" s="12" t="inlineStr"/>
      <c r="C1821" s="12" t="inlineStr">
        <is>
          <t>K</t>
        </is>
      </c>
      <c r="D1821" s="12" t="inlineStr">
        <is>
          <t>Motor 1 of 2, 250 kW</t>
        </is>
      </c>
      <c r="E1821" s="12" t="n">
        <v>480</v>
      </c>
      <c r="F1821" s="12" t="n">
        <v>250</v>
      </c>
      <c r="G1821" s="12" t="n">
        <v>353.8</v>
      </c>
      <c r="H1821" s="12" t="inlineStr">
        <is>
          <t>H2 20: 13.8 kV e-house</t>
        </is>
      </c>
      <c r="I1821" s="12" t="inlineStr">
        <is>
          <t>LV 600 V</t>
        </is>
      </c>
      <c r="J1821" s="12" t="inlineStr">
        <is>
          <t>4/0</t>
        </is>
      </c>
      <c r="K1821" s="12" t="n">
        <v>2</v>
      </c>
    </row>
    <row r="1822">
      <c r="A1822" s="12" t="inlineStr">
        <is>
          <t>H2 pipe track and cable trench, hall -&gt; dryer / compressors (N2, instr</t>
        </is>
      </c>
      <c r="B1822" s="12" t="inlineStr"/>
      <c r="C1822" s="12" t="inlineStr">
        <is>
          <t>K</t>
        </is>
      </c>
      <c r="D1822" s="12" t="inlineStr">
        <is>
          <t>Motor 2 of 2, 250 kW</t>
        </is>
      </c>
      <c r="E1822" s="12" t="n">
        <v>480</v>
      </c>
      <c r="F1822" s="12" t="n">
        <v>250</v>
      </c>
      <c r="G1822" s="12" t="n">
        <v>353.8</v>
      </c>
      <c r="H1822" s="12" t="inlineStr">
        <is>
          <t>H2 20: 13.8 kV e-house</t>
        </is>
      </c>
      <c r="I1822" s="12" t="inlineStr">
        <is>
          <t>LV 600 V</t>
        </is>
      </c>
      <c r="J1822" s="12" t="inlineStr">
        <is>
          <t>4/0</t>
        </is>
      </c>
      <c r="K1822" s="12" t="n">
        <v>2</v>
      </c>
    </row>
    <row r="1823">
      <c r="A1823" s="12" t="inlineStr">
        <is>
          <t>H2 storage tube banks x4</t>
        </is>
      </c>
      <c r="B1823" s="12" t="inlineStr">
        <is>
          <t>H2-ST</t>
        </is>
      </c>
      <c r="C1823" s="12" t="inlineStr">
        <is>
          <t>K</t>
        </is>
      </c>
      <c r="D1823" s="12" t="inlineStr">
        <is>
          <t>LV power feeder</t>
        </is>
      </c>
      <c r="E1823" s="12" t="n">
        <v>480</v>
      </c>
      <c r="F1823" s="12" t="n">
        <v>15</v>
      </c>
      <c r="G1823" s="12" t="n">
        <v>21.2</v>
      </c>
      <c r="H1823" s="12" t="inlineStr">
        <is>
          <t>H2 20: 13.8 kV e-house</t>
        </is>
      </c>
      <c r="I1823" s="12" t="inlineStr">
        <is>
          <t>LV 600 V</t>
        </is>
      </c>
      <c r="J1823" s="12" t="inlineStr">
        <is>
          <t>10</t>
        </is>
      </c>
      <c r="K1823" s="12" t="n">
        <v>1</v>
      </c>
    </row>
    <row r="1824">
      <c r="A1824" s="12" t="inlineStr">
        <is>
          <t>H2R: hydrogen pipeline receiving station (pig receiver, filters, meter</t>
        </is>
      </c>
      <c r="B1824" s="12" t="inlineStr">
        <is>
          <t>H2R</t>
        </is>
      </c>
      <c r="C1824" s="12" t="inlineStr">
        <is>
          <t>K</t>
        </is>
      </c>
      <c r="D1824" s="12" t="inlineStr">
        <is>
          <t>LV power feeder</t>
        </is>
      </c>
      <c r="E1824" s="12" t="n">
        <v>480</v>
      </c>
      <c r="F1824" s="12" t="n">
        <v>15</v>
      </c>
      <c r="G1824" s="12" t="n">
        <v>21.2</v>
      </c>
      <c r="H1824" s="12" t="inlineStr">
        <is>
          <t>H2 20: 13.8 kV e-house</t>
        </is>
      </c>
      <c r="I1824" s="12" t="inlineStr">
        <is>
          <t>LV 600 V</t>
        </is>
      </c>
      <c r="J1824" s="12" t="inlineStr">
        <is>
          <t>10</t>
        </is>
      </c>
      <c r="K1824" s="12" t="n">
        <v>1</v>
      </c>
    </row>
    <row r="1825">
      <c r="A1825" s="12" t="inlineStr">
        <is>
          <t>LNG 10: truck unloading bay 1</t>
        </is>
      </c>
      <c r="B1825" s="12" t="inlineStr"/>
      <c r="C1825" s="12" t="inlineStr">
        <is>
          <t>K</t>
        </is>
      </c>
      <c r="D1825" s="12" t="inlineStr">
        <is>
          <t>Motor 1 of 1, 15 kW</t>
        </is>
      </c>
      <c r="E1825" s="12" t="n">
        <v>480</v>
      </c>
      <c r="F1825" s="12" t="n">
        <v>15</v>
      </c>
      <c r="G1825" s="12" t="n">
        <v>21.2</v>
      </c>
      <c r="H1825" s="12" t="inlineStr">
        <is>
          <t>LNG 17: LNG e-house (13.8 kV / 480 V)</t>
        </is>
      </c>
      <c r="I1825" s="12" t="inlineStr">
        <is>
          <t>LV 600 V</t>
        </is>
      </c>
      <c r="J1825" s="12" t="inlineStr">
        <is>
          <t>8</t>
        </is>
      </c>
      <c r="K1825" s="12" t="n">
        <v>1</v>
      </c>
    </row>
    <row r="1826">
      <c r="A1826" s="12" t="inlineStr">
        <is>
          <t>LNG 10: truck unloading bay 2</t>
        </is>
      </c>
      <c r="B1826" s="12" t="inlineStr"/>
      <c r="C1826" s="12" t="inlineStr">
        <is>
          <t>K</t>
        </is>
      </c>
      <c r="D1826" s="12" t="inlineStr">
        <is>
          <t>Motor 1 of 1, 15 kW</t>
        </is>
      </c>
      <c r="E1826" s="12" t="n">
        <v>480</v>
      </c>
      <c r="F1826" s="12" t="n">
        <v>15</v>
      </c>
      <c r="G1826" s="12" t="n">
        <v>21.2</v>
      </c>
      <c r="H1826" s="12" t="inlineStr">
        <is>
          <t>LNG 17: LNG e-house (13.8 kV / 480 V)</t>
        </is>
      </c>
      <c r="I1826" s="12" t="inlineStr">
        <is>
          <t>LV 600 V</t>
        </is>
      </c>
      <c r="J1826" s="12" t="inlineStr">
        <is>
          <t>10</t>
        </is>
      </c>
      <c r="K1826" s="12" t="n">
        <v>1</v>
      </c>
    </row>
    <row r="1827">
      <c r="A1827" s="12" t="inlineStr">
        <is>
          <t>LNG 10: unloading skid</t>
        </is>
      </c>
      <c r="B1827" s="12" t="inlineStr"/>
      <c r="C1827" s="12" t="inlineStr">
        <is>
          <t>K</t>
        </is>
      </c>
      <c r="D1827" s="12" t="inlineStr">
        <is>
          <t>Motor 1 of 1, 15 kW</t>
        </is>
      </c>
      <c r="E1827" s="12" t="n">
        <v>480</v>
      </c>
      <c r="F1827" s="12" t="n">
        <v>15</v>
      </c>
      <c r="G1827" s="12" t="n">
        <v>21.2</v>
      </c>
      <c r="H1827" s="12" t="inlineStr">
        <is>
          <t>LNG 17: LNG e-house (13.8 kV / 480 V)</t>
        </is>
      </c>
      <c r="I1827" s="12" t="inlineStr">
        <is>
          <t>LV 600 V</t>
        </is>
      </c>
      <c r="J1827" s="12" t="inlineStr">
        <is>
          <t>10</t>
        </is>
      </c>
      <c r="K1827" s="12" t="n">
        <v>1</v>
      </c>
    </row>
    <row r="1828">
      <c r="A1828" s="12" t="inlineStr">
        <is>
          <t>LNG 11: tank 1, 51,780 gal horizontal vacuum-insulated</t>
        </is>
      </c>
      <c r="B1828" s="12" t="inlineStr">
        <is>
          <t>LNG-T1</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11: tank 2, 51,780 gal horizontal vacuum-insulated</t>
        </is>
      </c>
      <c r="B1829" s="12" t="inlineStr">
        <is>
          <t>LNG-T2</t>
        </is>
      </c>
      <c r="C1829" s="12" t="inlineStr">
        <is>
          <t>K</t>
        </is>
      </c>
      <c r="D1829" s="12" t="inlineStr">
        <is>
          <t>LV power feeder</t>
        </is>
      </c>
      <c r="E1829" s="12" t="n">
        <v>480</v>
      </c>
      <c r="F1829" s="12" t="n">
        <v>10</v>
      </c>
      <c r="G1829" s="12" t="n">
        <v>14.2</v>
      </c>
      <c r="H1829" s="12" t="inlineStr">
        <is>
          <t>LNG 17: LNG e-house (13.8 kV / 480 V)</t>
        </is>
      </c>
      <c r="I1829" s="12" t="inlineStr">
        <is>
          <t>LV 600 V</t>
        </is>
      </c>
      <c r="J1829" s="12" t="inlineStr">
        <is>
          <t>10</t>
        </is>
      </c>
      <c r="K1829" s="12" t="n">
        <v>1</v>
      </c>
    </row>
    <row r="1830">
      <c r="A1830" s="12" t="inlineStr">
        <is>
          <t>LNG 11: tank 3, 51,780 gal horizontal vacuum-insulated</t>
        </is>
      </c>
      <c r="B1830" s="12" t="inlineStr">
        <is>
          <t>LNG-T3</t>
        </is>
      </c>
      <c r="C1830" s="12" t="inlineStr">
        <is>
          <t>K</t>
        </is>
      </c>
      <c r="D1830" s="12" t="inlineStr">
        <is>
          <t>LV power feeder</t>
        </is>
      </c>
      <c r="E1830" s="12" t="n">
        <v>480</v>
      </c>
      <c r="F1830" s="12" t="n">
        <v>10</v>
      </c>
      <c r="G1830" s="12" t="n">
        <v>14.2</v>
      </c>
      <c r="H1830" s="12" t="inlineStr">
        <is>
          <t>LNG 17: LNG e-house (13.8 kV / 480 V)</t>
        </is>
      </c>
      <c r="I1830" s="12" t="inlineStr">
        <is>
          <t>LV 600 V</t>
        </is>
      </c>
      <c r="J1830" s="12" t="inlineStr">
        <is>
          <t>10</t>
        </is>
      </c>
      <c r="K1830" s="12" t="n">
        <v>1</v>
      </c>
    </row>
    <row r="1831">
      <c r="A1831" s="12" t="inlineStr">
        <is>
          <t>LNG 11: tank 4, 51,780 gal horizontal vacuum-insulated</t>
        </is>
      </c>
      <c r="B1831" s="12" t="inlineStr">
        <is>
          <t>LNG-T4</t>
        </is>
      </c>
      <c r="C1831" s="12" t="inlineStr">
        <is>
          <t>K</t>
        </is>
      </c>
      <c r="D1831" s="12" t="inlineStr">
        <is>
          <t>LV power feeder</t>
        </is>
      </c>
      <c r="E1831" s="12" t="n">
        <v>480</v>
      </c>
      <c r="F1831" s="12" t="n">
        <v>10</v>
      </c>
      <c r="G1831" s="12" t="n">
        <v>14.2</v>
      </c>
      <c r="H1831" s="12" t="inlineStr">
        <is>
          <t>LNG 17: LNG e-house (13.8 kV / 480 V)</t>
        </is>
      </c>
      <c r="I1831" s="12" t="inlineStr">
        <is>
          <t>LV 600 V</t>
        </is>
      </c>
      <c r="J1831" s="12" t="inlineStr">
        <is>
          <t>10</t>
        </is>
      </c>
      <c r="K1831" s="12" t="n">
        <v>1</v>
      </c>
    </row>
    <row r="1832">
      <c r="A1832" s="12" t="inlineStr">
        <is>
          <t>LNG 11: tank 5, 51,780 gal horizontal vacuum-insulated</t>
        </is>
      </c>
      <c r="B1832" s="12" t="inlineStr">
        <is>
          <t>LNG-T5</t>
        </is>
      </c>
      <c r="C1832" s="12" t="inlineStr">
        <is>
          <t>K</t>
        </is>
      </c>
      <c r="D1832" s="12" t="inlineStr">
        <is>
          <t>LV power feeder</t>
        </is>
      </c>
      <c r="E1832" s="12" t="n">
        <v>480</v>
      </c>
      <c r="F1832" s="12" t="n">
        <v>10</v>
      </c>
      <c r="G1832" s="12" t="n">
        <v>14.2</v>
      </c>
      <c r="H1832" s="12" t="inlineStr">
        <is>
          <t>LNG 17: LNG e-house (13.8 kV / 480 V)</t>
        </is>
      </c>
      <c r="I1832" s="12" t="inlineStr">
        <is>
          <t>LV 600 V</t>
        </is>
      </c>
      <c r="J1832" s="12" t="inlineStr">
        <is>
          <t>10</t>
        </is>
      </c>
      <c r="K1832" s="12" t="n">
        <v>1</v>
      </c>
    </row>
    <row r="1833">
      <c r="A1833" s="12" t="inlineStr">
        <is>
          <t>LNG 11: tank 6, 51,780 gal horizontal vacuum-insulated</t>
        </is>
      </c>
      <c r="B1833" s="12" t="inlineStr">
        <is>
          <t>LNG-T6</t>
        </is>
      </c>
      <c r="C1833" s="12" t="inlineStr">
        <is>
          <t>K</t>
        </is>
      </c>
      <c r="D1833" s="12" t="inlineStr">
        <is>
          <t>LV power feeder</t>
        </is>
      </c>
      <c r="E1833" s="12" t="n">
        <v>480</v>
      </c>
      <c r="F1833" s="12" t="n">
        <v>10</v>
      </c>
      <c r="G1833" s="12" t="n">
        <v>14.2</v>
      </c>
      <c r="H1833" s="12" t="inlineStr">
        <is>
          <t>LNG 17: LNG e-house (13.8 kV / 480 V)</t>
        </is>
      </c>
      <c r="I1833" s="12" t="inlineStr">
        <is>
          <t>LV 600 V</t>
        </is>
      </c>
      <c r="J1833" s="12" t="inlineStr">
        <is>
          <t>10</t>
        </is>
      </c>
      <c r="K1833" s="12" t="n">
        <v>1</v>
      </c>
    </row>
    <row r="1834">
      <c r="A1834" s="12" t="inlineStr">
        <is>
          <t>LNG 11: tank 7, 51,780 gal horizontal vacuum-insulated</t>
        </is>
      </c>
      <c r="B1834" s="12" t="inlineStr">
        <is>
          <t>LNG-T7</t>
        </is>
      </c>
      <c r="C1834" s="12" t="inlineStr">
        <is>
          <t>K</t>
        </is>
      </c>
      <c r="D1834" s="12" t="inlineStr">
        <is>
          <t>LV power feeder</t>
        </is>
      </c>
      <c r="E1834" s="12" t="n">
        <v>480</v>
      </c>
      <c r="F1834" s="12" t="n">
        <v>10</v>
      </c>
      <c r="G1834" s="12" t="n">
        <v>14.2</v>
      </c>
      <c r="H1834" s="12" t="inlineStr">
        <is>
          <t>LNG 17: LNG e-house (13.8 kV / 480 V)</t>
        </is>
      </c>
      <c r="I1834" s="12" t="inlineStr">
        <is>
          <t>LV 600 V</t>
        </is>
      </c>
      <c r="J1834" s="12" t="inlineStr">
        <is>
          <t>10</t>
        </is>
      </c>
      <c r="K1834" s="12" t="n">
        <v>1</v>
      </c>
    </row>
    <row r="1835">
      <c r="A1835" s="12" t="inlineStr">
        <is>
          <t>LNG 11: tank 8, 51,780 gal horizontal vacuum-insulated</t>
        </is>
      </c>
      <c r="B1835" s="12" t="inlineStr">
        <is>
          <t>LNG-T8</t>
        </is>
      </c>
      <c r="C1835" s="12" t="inlineStr">
        <is>
          <t>K</t>
        </is>
      </c>
      <c r="D1835" s="12" t="inlineStr">
        <is>
          <t>LV power feeder</t>
        </is>
      </c>
      <c r="E1835" s="12" t="n">
        <v>480</v>
      </c>
      <c r="F1835" s="12" t="n">
        <v>10</v>
      </c>
      <c r="G1835" s="12" t="n">
        <v>14.2</v>
      </c>
      <c r="H1835" s="12" t="inlineStr">
        <is>
          <t>LNG 17: LNG e-house (13.8 kV / 480 V)</t>
        </is>
      </c>
      <c r="I1835" s="12" t="inlineStr">
        <is>
          <t>LV 600 V</t>
        </is>
      </c>
      <c r="J1835" s="12" t="inlineStr">
        <is>
          <t>10</t>
        </is>
      </c>
      <c r="K1835" s="12" t="n">
        <v>1</v>
      </c>
    </row>
    <row r="1836">
      <c r="A1836" s="12" t="inlineStr">
        <is>
          <t>LNG 12: spill impoundment (NFPA 59A, to verify)</t>
        </is>
      </c>
      <c r="B1836" s="12" t="inlineStr"/>
      <c r="C1836" s="12" t="inlineStr">
        <is>
          <t>K</t>
        </is>
      </c>
      <c r="D1836" s="12" t="inlineStr">
        <is>
          <t>Motor 1 of 1, 15 kW</t>
        </is>
      </c>
      <c r="E1836" s="12" t="n">
        <v>480</v>
      </c>
      <c r="F1836" s="12" t="n">
        <v>15</v>
      </c>
      <c r="G1836" s="12" t="n">
        <v>21.2</v>
      </c>
      <c r="H1836" s="12" t="inlineStr">
        <is>
          <t>LNG 17: LNG e-house (13.8 kV / 480 V)</t>
        </is>
      </c>
      <c r="I1836" s="12" t="inlineStr">
        <is>
          <t>LV 600 V</t>
        </is>
      </c>
      <c r="J1836" s="12" t="inlineStr">
        <is>
          <t>10</t>
        </is>
      </c>
      <c r="K1836" s="12" t="n">
        <v>1</v>
      </c>
    </row>
    <row r="1837">
      <c r="A1837" s="12" t="inlineStr">
        <is>
          <t>LNG 13: send-out pumps 2 x 100%</t>
        </is>
      </c>
      <c r="B1837" s="12" t="inlineStr"/>
      <c r="C1837" s="12" t="inlineStr">
        <is>
          <t>K</t>
        </is>
      </c>
      <c r="D1837" s="12" t="inlineStr">
        <is>
          <t>Motor 1 of 1, 15 kW</t>
        </is>
      </c>
      <c r="E1837" s="12" t="n">
        <v>480</v>
      </c>
      <c r="F1837" s="12" t="n">
        <v>15</v>
      </c>
      <c r="G1837" s="12" t="n">
        <v>21.2</v>
      </c>
      <c r="H1837" s="12" t="inlineStr">
        <is>
          <t>LNG 17: LNG e-house (13.8 kV / 480 V)</t>
        </is>
      </c>
      <c r="I1837" s="12" t="inlineStr">
        <is>
          <t>LV 600 V</t>
        </is>
      </c>
      <c r="J1837" s="12" t="inlineStr">
        <is>
          <t>10</t>
        </is>
      </c>
      <c r="K1837" s="12" t="n">
        <v>1</v>
      </c>
    </row>
    <row r="1838">
      <c r="A1838" s="12" t="inlineStr">
        <is>
          <t>LNG 14: vaporizers + glycol heater</t>
        </is>
      </c>
      <c r="B1838" s="12" t="inlineStr"/>
      <c r="C1838" s="12" t="inlineStr">
        <is>
          <t>K</t>
        </is>
      </c>
      <c r="D1838" s="12" t="inlineStr">
        <is>
          <t>Motor 1 of 1, 15 kW</t>
        </is>
      </c>
      <c r="E1838" s="12" t="n">
        <v>480</v>
      </c>
      <c r="F1838" s="12" t="n">
        <v>15</v>
      </c>
      <c r="G1838" s="12" t="n">
        <v>21.2</v>
      </c>
      <c r="H1838" s="12" t="inlineStr">
        <is>
          <t>LNG 17: LNG e-house (13.8 kV / 480 V)</t>
        </is>
      </c>
      <c r="I1838" s="12" t="inlineStr">
        <is>
          <t>LV 600 V</t>
        </is>
      </c>
      <c r="J1838" s="12" t="inlineStr">
        <is>
          <t>10</t>
        </is>
      </c>
      <c r="K1838" s="12" t="n">
        <v>1</v>
      </c>
    </row>
    <row r="1839">
      <c r="A1839" s="12" t="inlineStr">
        <is>
          <t>LNG 15: boil-off gas compressor</t>
        </is>
      </c>
      <c r="B1839" s="12" t="inlineStr"/>
      <c r="C1839" s="12" t="inlineStr">
        <is>
          <t>K</t>
        </is>
      </c>
      <c r="D1839" s="12" t="inlineStr">
        <is>
          <t>Motor 1 of 1, 15 kW</t>
        </is>
      </c>
      <c r="E1839" s="12" t="n">
        <v>480</v>
      </c>
      <c r="F1839" s="12" t="n">
        <v>15</v>
      </c>
      <c r="G1839" s="12" t="n">
        <v>21.2</v>
      </c>
      <c r="H1839" s="12" t="inlineStr">
        <is>
          <t>LNG 17: LNG e-house (13.8 kV / 480 V)</t>
        </is>
      </c>
      <c r="I1839" s="12" t="inlineStr">
        <is>
          <t>LV 600 V</t>
        </is>
      </c>
      <c r="J1839" s="12" t="inlineStr">
        <is>
          <t>10</t>
        </is>
      </c>
      <c r="K1839" s="12" t="n">
        <v>1</v>
      </c>
    </row>
    <row r="1840">
      <c r="A1840" s="12" t="inlineStr">
        <is>
          <t>LNG 16: send-out metering + pressure control</t>
        </is>
      </c>
      <c r="B1840" s="12" t="inlineStr"/>
      <c r="C1840" s="12" t="inlineStr">
        <is>
          <t>K</t>
        </is>
      </c>
      <c r="D1840" s="12" t="inlineStr">
        <is>
          <t>Motor 1 of 1, 15 kW</t>
        </is>
      </c>
      <c r="E1840" s="12" t="n">
        <v>480</v>
      </c>
      <c r="F1840" s="12" t="n">
        <v>15</v>
      </c>
      <c r="G1840" s="12" t="n">
        <v>21.2</v>
      </c>
      <c r="H1840" s="12" t="inlineStr">
        <is>
          <t>LNG 17: LNG e-house (13.8 kV / 480 V)</t>
        </is>
      </c>
      <c r="I1840" s="12" t="inlineStr">
        <is>
          <t>LV 600 V</t>
        </is>
      </c>
      <c r="J1840" s="12" t="inlineStr">
        <is>
          <t>10</t>
        </is>
      </c>
      <c r="K1840" s="12" t="n">
        <v>1</v>
      </c>
    </row>
    <row r="1841">
      <c r="A1841" s="12" t="inlineStr">
        <is>
          <t>LNG 17: LNG e-house (13.8 kV / 480 V)</t>
        </is>
      </c>
      <c r="B1841" s="12" t="inlineStr"/>
      <c r="C1841" s="12" t="inlineStr">
        <is>
          <t>K</t>
        </is>
      </c>
      <c r="D1841" s="12" t="inlineStr">
        <is>
          <t>Motor 1 of 1, 15 kW</t>
        </is>
      </c>
      <c r="E1841" s="12" t="n">
        <v>480</v>
      </c>
      <c r="F1841" s="12" t="n">
        <v>15</v>
      </c>
      <c r="G1841" s="12" t="n">
        <v>21.2</v>
      </c>
      <c r="H1841" s="12" t="inlineStr">
        <is>
          <t>LNG 17: LNG e-house (13.8 kV / 480 V)</t>
        </is>
      </c>
      <c r="I1841" s="12" t="inlineStr">
        <is>
          <t>LV 600 V</t>
        </is>
      </c>
      <c r="J1841" s="12" t="inlineStr">
        <is>
          <t>10</t>
        </is>
      </c>
      <c r="K1841" s="12" t="n">
        <v>1</v>
      </c>
    </row>
    <row r="1842">
      <c r="A1842" s="12" t="inlineStr">
        <is>
          <t>LNG 18: vent stack</t>
        </is>
      </c>
      <c r="B1842" s="12" t="inlineStr"/>
      <c r="C1842" s="12" t="inlineStr">
        <is>
          <t>K</t>
        </is>
      </c>
      <c r="D1842" s="12" t="inlineStr">
        <is>
          <t>Motor 1 of 1, 15 kW</t>
        </is>
      </c>
      <c r="E1842" s="12" t="n">
        <v>480</v>
      </c>
      <c r="F1842" s="12" t="n">
        <v>15</v>
      </c>
      <c r="G1842" s="12" t="n">
        <v>21.2</v>
      </c>
      <c r="H1842" s="12" t="inlineStr">
        <is>
          <t>LNG 17: LNG e-house (13.8 kV / 480 V)</t>
        </is>
      </c>
      <c r="I1842" s="12" t="inlineStr">
        <is>
          <t>LV 600 V</t>
        </is>
      </c>
      <c r="J1842" s="12" t="inlineStr">
        <is>
          <t>10</t>
        </is>
      </c>
      <c r="K1842" s="12" t="n">
        <v>1</v>
      </c>
    </row>
    <row r="1843">
      <c r="A1843" s="12" t="inlineStr">
        <is>
          <t>LNG impoundment sump pump</t>
        </is>
      </c>
      <c r="B1843" s="12" t="inlineStr"/>
      <c r="C1843" s="12" t="inlineStr">
        <is>
          <t>K</t>
        </is>
      </c>
      <c r="D1843" s="12" t="inlineStr">
        <is>
          <t>LV power feeder</t>
        </is>
      </c>
      <c r="E1843" s="12" t="n">
        <v>480</v>
      </c>
      <c r="F1843" s="12" t="n">
        <v>15</v>
      </c>
      <c r="G1843" s="12" t="n">
        <v>21.2</v>
      </c>
      <c r="H1843" s="12" t="inlineStr">
        <is>
          <t>LNG 17: LNG e-house (13.8 kV / 480 V)</t>
        </is>
      </c>
      <c r="I1843" s="12" t="inlineStr">
        <is>
          <t>LV 600 V</t>
        </is>
      </c>
      <c r="J1843" s="12" t="inlineStr">
        <is>
          <t>8</t>
        </is>
      </c>
      <c r="K1843" s="12" t="n">
        <v>1</v>
      </c>
    </row>
    <row r="1844">
      <c r="A1844" s="12" t="inlineStr">
        <is>
          <t>M&amp;R 2: insulating joint + ESD valve</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6</t>
        </is>
      </c>
      <c r="K1844" s="12" t="n">
        <v>1</v>
      </c>
    </row>
    <row r="1845">
      <c r="A1845" s="12" t="inlineStr">
        <is>
          <t>M&amp;R 3: horizontal filter-separator</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4</t>
        </is>
      </c>
      <c r="K1845" s="12" t="n">
        <v>1</v>
      </c>
    </row>
    <row r="1846">
      <c r="A1846" s="12" t="inlineStr">
        <is>
          <t>M&amp;R 4: line heater 1 (water bath)</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4: line heater 2 (water bath)</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6</t>
        </is>
      </c>
      <c r="K1847" s="12" t="n">
        <v>1</v>
      </c>
    </row>
    <row r="1848">
      <c r="A1848" s="12" t="inlineStr">
        <is>
          <t>M&amp;R 4: line heater 3 (water bath)</t>
        </is>
      </c>
      <c r="B1848" s="12" t="inlineStr"/>
      <c r="C1848" s="12" t="inlineStr">
        <is>
          <t>K</t>
        </is>
      </c>
      <c r="D1848" s="12" t="inlineStr">
        <is>
          <t>LV power feeder</t>
        </is>
      </c>
      <c r="E1848" s="12" t="n">
        <v>480</v>
      </c>
      <c r="F1848" s="12" t="n">
        <v>15</v>
      </c>
      <c r="G1848" s="12" t="n">
        <v>21.2</v>
      </c>
      <c r="H1848" s="12" t="inlineStr">
        <is>
          <t>LNG 17: LNG e-house (13.8 kV / 480 V)</t>
        </is>
      </c>
      <c r="I1848" s="12" t="inlineStr">
        <is>
          <t>LV 600 V</t>
        </is>
      </c>
      <c r="J1848" s="12" t="inlineStr">
        <is>
          <t>6</t>
        </is>
      </c>
      <c r="K1848" s="12" t="n">
        <v>1</v>
      </c>
    </row>
    <row r="1849">
      <c r="A1849" s="12" t="inlineStr">
        <is>
          <t>M&amp;R 6: regulation / flow control building</t>
        </is>
      </c>
      <c r="B1849" s="12" t="inlineStr"/>
      <c r="C1849" s="12" t="inlineStr">
        <is>
          <t>K</t>
        </is>
      </c>
      <c r="D1849" s="12" t="inlineStr">
        <is>
          <t>LV panel / distribution feeder</t>
        </is>
      </c>
      <c r="E1849" s="12" t="n">
        <v>480</v>
      </c>
      <c r="F1849" s="12" t="n">
        <v>10</v>
      </c>
      <c r="G1849" s="12" t="n">
        <v>14.2</v>
      </c>
      <c r="H1849" s="12" t="inlineStr">
        <is>
          <t>LNG 17: LNG e-house (13.8 kV / 480 V)</t>
        </is>
      </c>
      <c r="I1849" s="12" t="inlineStr">
        <is>
          <t>LV 600 V</t>
        </is>
      </c>
      <c r="J1849" s="12" t="inlineStr">
        <is>
          <t>8</t>
        </is>
      </c>
      <c r="K1849" s="12" t="n">
        <v>1</v>
      </c>
    </row>
    <row r="1850">
      <c r="A1850" s="12" t="inlineStr">
        <is>
          <t>M&amp;R 7: gas quality + measurement building</t>
        </is>
      </c>
      <c r="B1850" s="12" t="inlineStr"/>
      <c r="C1850" s="12" t="inlineStr">
        <is>
          <t>K</t>
        </is>
      </c>
      <c r="D1850" s="12" t="inlineStr">
        <is>
          <t>LV panel / distribution feeder</t>
        </is>
      </c>
      <c r="E1850" s="12" t="n">
        <v>480</v>
      </c>
      <c r="F1850" s="12" t="n">
        <v>30</v>
      </c>
      <c r="G1850" s="12" t="n">
        <v>42.5</v>
      </c>
      <c r="H1850" s="12" t="inlineStr">
        <is>
          <t>LNG 17: LNG e-house (13.8 kV / 480 V)</t>
        </is>
      </c>
      <c r="I1850" s="12" t="inlineStr">
        <is>
          <t>LV 600 V</t>
        </is>
      </c>
      <c r="J1850" s="12" t="inlineStr">
        <is>
          <t>2</t>
        </is>
      </c>
      <c r="K1850" s="12" t="n">
        <v>1</v>
      </c>
    </row>
    <row r="1851">
      <c r="A1851" s="12" t="inlineStr">
        <is>
          <t>M&amp;R 8: condensate tank</t>
        </is>
      </c>
      <c r="B1851" s="12" t="inlineStr"/>
      <c r="C1851" s="12" t="inlineStr">
        <is>
          <t>K</t>
        </is>
      </c>
      <c r="D1851" s="12" t="inlineStr">
        <is>
          <t>LV power feeder</t>
        </is>
      </c>
      <c r="E1851" s="12" t="n">
        <v>480</v>
      </c>
      <c r="F1851" s="12" t="n">
        <v>10</v>
      </c>
      <c r="G1851" s="12" t="n">
        <v>14.2</v>
      </c>
      <c r="H1851" s="12" t="inlineStr">
        <is>
          <t>LNG 17: LNG e-house (13.8 kV / 480 V)</t>
        </is>
      </c>
      <c r="I1851" s="12" t="inlineStr">
        <is>
          <t>LV 600 V</t>
        </is>
      </c>
      <c r="J1851" s="12" t="inlineStr">
        <is>
          <t>8</t>
        </is>
      </c>
      <c r="K1851" s="12" t="n">
        <v>1</v>
      </c>
    </row>
    <row r="1852">
      <c r="A1852" s="12" t="inlineStr">
        <is>
          <t>M&amp;R 9: service panel + UPS, SCADA RTU, CP</t>
        </is>
      </c>
      <c r="B1852" s="12" t="inlineStr"/>
      <c r="C1852" s="12" t="inlineStr">
        <is>
          <t>K</t>
        </is>
      </c>
      <c r="D1852" s="12" t="inlineStr">
        <is>
          <t>LV power feeder</t>
        </is>
      </c>
      <c r="E1852" s="12" t="n">
        <v>480</v>
      </c>
      <c r="F1852" s="12" t="n">
        <v>15</v>
      </c>
      <c r="G1852" s="12" t="n">
        <v>21.2</v>
      </c>
      <c r="H1852" s="12" t="inlineStr">
        <is>
          <t>LNG 17: LNG e-house (13.8 kV / 480 V)</t>
        </is>
      </c>
      <c r="I1852" s="12" t="inlineStr">
        <is>
          <t>LV 600 V</t>
        </is>
      </c>
      <c r="J1852" s="12" t="inlineStr">
        <is>
          <t>6</t>
        </is>
      </c>
      <c r="K1852" s="12" t="n">
        <v>1</v>
      </c>
    </row>
    <row r="1853">
      <c r="A1853" s="12" t="inlineStr">
        <is>
          <t>M&amp;R CP test station (as drawn)</t>
        </is>
      </c>
      <c r="B1853" s="12" t="inlineStr"/>
      <c r="C1853" s="12" t="inlineStr">
        <is>
          <t>K</t>
        </is>
      </c>
      <c r="D1853" s="12" t="inlineStr">
        <is>
          <t>LV power feeder</t>
        </is>
      </c>
      <c r="E1853" s="12" t="n">
        <v>480</v>
      </c>
      <c r="F1853" s="12" t="n">
        <v>15</v>
      </c>
      <c r="G1853" s="12" t="n">
        <v>21.2</v>
      </c>
      <c r="H1853" s="12" t="inlineStr">
        <is>
          <t>LNG 17: LNG e-house (13.8 kV / 480 V)</t>
        </is>
      </c>
      <c r="I1853" s="12" t="inlineStr">
        <is>
          <t>LV 600 V</t>
        </is>
      </c>
      <c r="J1853" s="12" t="inlineStr">
        <is>
          <t>6</t>
        </is>
      </c>
      <c r="K1853" s="12" t="n">
        <v>1</v>
      </c>
    </row>
    <row r="1854">
      <c r="A1854" s="12" t="inlineStr">
        <is>
          <t>M&amp;R SCADA antenna mast base (as drawn)</t>
        </is>
      </c>
      <c r="B1854" s="12" t="inlineStr"/>
      <c r="C1854" s="12" t="inlineStr">
        <is>
          <t>K</t>
        </is>
      </c>
      <c r="D1854" s="12" t="inlineStr">
        <is>
          <t>LV power feeder</t>
        </is>
      </c>
      <c r="E1854" s="12" t="n">
        <v>480</v>
      </c>
      <c r="F1854" s="12" t="n">
        <v>15</v>
      </c>
      <c r="G1854" s="12" t="n">
        <v>21.2</v>
      </c>
      <c r="H1854" s="12" t="inlineStr">
        <is>
          <t>LNG 17: LNG e-house (13.8 kV / 480 V)</t>
        </is>
      </c>
      <c r="I1854" s="12" t="inlineStr">
        <is>
          <t>LV 600 V</t>
        </is>
      </c>
      <c r="J1854" s="12" t="inlineStr">
        <is>
          <t>8</t>
        </is>
      </c>
      <c r="K1854" s="12" t="n">
        <v>1</v>
      </c>
    </row>
    <row r="1855">
      <c r="A1855" s="12" t="inlineStr">
        <is>
          <t>H2 20: 13.8 kV e-house</t>
        </is>
      </c>
      <c r="B1855" s="12" t="inlineStr"/>
      <c r="C1855" s="12" t="inlineStr">
        <is>
          <t>K</t>
        </is>
      </c>
      <c r="D1855" s="12" t="inlineStr">
        <is>
          <t>H2 13.8 kV e-house (electrolyzers)</t>
        </is>
      </c>
      <c r="E1855" s="12" t="n">
        <v>13800</v>
      </c>
      <c r="F1855" s="12" t="n">
        <v>20000</v>
      </c>
      <c r="G1855" s="12" t="n">
        <v>837</v>
      </c>
      <c r="H1855" s="12" t="inlineStr">
        <is>
          <t>R1 SWGR-13.8-3 (11 x 36 in cubicles, 15 kV metal-clad)</t>
        </is>
      </c>
      <c r="I1855" s="12" t="inlineStr">
        <is>
          <t>MV 15 kV</t>
        </is>
      </c>
      <c r="J1855" s="12" t="inlineStr">
        <is>
          <t>750 kcmil</t>
        </is>
      </c>
      <c r="K1855" s="12" t="n">
        <v>2</v>
      </c>
    </row>
    <row r="1856">
      <c r="A1856" s="12" t="inlineStr">
        <is>
          <t>LNG 17: LNG e-house (13.8 kV / 480 V)</t>
        </is>
      </c>
      <c r="B1856" s="12" t="inlineStr"/>
      <c r="C1856" s="12" t="inlineStr">
        <is>
          <t>K</t>
        </is>
      </c>
      <c r="D1856" s="12" t="inlineStr">
        <is>
          <t>LNG e-house</t>
        </is>
      </c>
      <c r="E1856" s="12" t="n">
        <v>13800</v>
      </c>
      <c r="F1856" s="12" t="n">
        <v>5000</v>
      </c>
      <c r="G1856" s="12" t="n">
        <v>209</v>
      </c>
      <c r="H1856" s="12" t="inlineStr">
        <is>
          <t>R1 SWGR-13.8-3 (11 x 36 in cubicles, 15 kV metal-clad)</t>
        </is>
      </c>
      <c r="I1856" s="12" t="inlineStr">
        <is>
          <t>MV 15 kV</t>
        </is>
      </c>
      <c r="J1856" s="12" t="inlineStr">
        <is>
          <t>4/0</t>
        </is>
      </c>
      <c r="K1856" s="12" t="n">
        <v>1</v>
      </c>
    </row>
    <row r="1857">
      <c r="A1857" s="12" t="inlineStr">
        <is>
          <t xml:space="preserve">CO2 compression 3 x ~19 MW + dehydration: rooftop HVAC, exhaust fans, </t>
        </is>
      </c>
      <c r="B1857" s="12" t="inlineStr"/>
      <c r="C1857" s="12" t="inlineStr"/>
      <c r="D1857" s="12" t="inlineStr">
        <is>
          <t>Motor 1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2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3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Motor 4 of 10, 30 kW</t>
        </is>
      </c>
      <c r="E1860" s="12" t="n">
        <v>480</v>
      </c>
      <c r="F1860" s="12" t="n">
        <v>30</v>
      </c>
      <c r="G1860" s="12" t="n">
        <v>42.5</v>
      </c>
      <c r="H1860" s="12" t="inlineStr">
        <is>
          <t>R1 MCC-C1</t>
        </is>
      </c>
      <c r="I1860" s="12" t="inlineStr">
        <is>
          <t>LV 600 V</t>
        </is>
      </c>
      <c r="J1860" s="12" t="inlineStr">
        <is>
          <t>3/0</t>
        </is>
      </c>
      <c r="K1860" s="12" t="n">
        <v>1</v>
      </c>
    </row>
    <row r="1861">
      <c r="A1861" s="12" t="inlineStr">
        <is>
          <t xml:space="preserve">CO2 compression 3 x ~19 MW + dehydration: rooftop HVAC, exhaust fans, </t>
        </is>
      </c>
      <c r="B1861" s="12" t="inlineStr"/>
      <c r="C1861" s="12" t="inlineStr"/>
      <c r="D1861" s="12" t="inlineStr">
        <is>
          <t>Motor 5 of 10, 30 kW</t>
        </is>
      </c>
      <c r="E1861" s="12" t="n">
        <v>480</v>
      </c>
      <c r="F1861" s="12" t="n">
        <v>30</v>
      </c>
      <c r="G1861" s="12" t="n">
        <v>42.5</v>
      </c>
      <c r="H1861" s="12" t="inlineStr">
        <is>
          <t>R1 MCC-C1</t>
        </is>
      </c>
      <c r="I1861" s="12" t="inlineStr">
        <is>
          <t>LV 600 V</t>
        </is>
      </c>
      <c r="J1861" s="12" t="inlineStr">
        <is>
          <t>3/0</t>
        </is>
      </c>
      <c r="K1861" s="12" t="n">
        <v>1</v>
      </c>
    </row>
    <row r="1862">
      <c r="A1862" s="12" t="inlineStr">
        <is>
          <t xml:space="preserve">CO2 compression 3 x ~19 MW + dehydration: rooftop HVAC, exhaust fans, </t>
        </is>
      </c>
      <c r="B1862" s="12" t="inlineStr"/>
      <c r="C1862" s="12" t="inlineStr"/>
      <c r="D1862" s="12" t="inlineStr">
        <is>
          <t>Motor 6 of 10, 30 kW</t>
        </is>
      </c>
      <c r="E1862" s="12" t="n">
        <v>480</v>
      </c>
      <c r="F1862" s="12" t="n">
        <v>30</v>
      </c>
      <c r="G1862" s="12" t="n">
        <v>42.5</v>
      </c>
      <c r="H1862" s="12" t="inlineStr">
        <is>
          <t>R1 MCC-C1</t>
        </is>
      </c>
      <c r="I1862" s="12" t="inlineStr">
        <is>
          <t>LV 600 V</t>
        </is>
      </c>
      <c r="J1862" s="12" t="inlineStr">
        <is>
          <t>3/0</t>
        </is>
      </c>
      <c r="K1862" s="12" t="n">
        <v>1</v>
      </c>
    </row>
    <row r="1863">
      <c r="A1863" s="12" t="inlineStr">
        <is>
          <t xml:space="preserve">CO2 compression 3 x ~19 MW + dehydration: rooftop HVAC, exhaust fans, </t>
        </is>
      </c>
      <c r="B1863" s="12" t="inlineStr"/>
      <c r="C1863" s="12" t="inlineStr"/>
      <c r="D1863" s="12" t="inlineStr">
        <is>
          <t>Motor 7 of 10, 30 kW</t>
        </is>
      </c>
      <c r="E1863" s="12" t="n">
        <v>480</v>
      </c>
      <c r="F1863" s="12" t="n">
        <v>30</v>
      </c>
      <c r="G1863" s="12" t="n">
        <v>42.5</v>
      </c>
      <c r="H1863" s="12" t="inlineStr">
        <is>
          <t>R1 MCC-C1</t>
        </is>
      </c>
      <c r="I1863" s="12" t="inlineStr">
        <is>
          <t>LV 600 V</t>
        </is>
      </c>
      <c r="J1863" s="12" t="inlineStr">
        <is>
          <t>3/0</t>
        </is>
      </c>
      <c r="K1863" s="12" t="n">
        <v>1</v>
      </c>
    </row>
    <row r="1864">
      <c r="A1864" s="12" t="inlineStr">
        <is>
          <t xml:space="preserve">CO2 compression 3 x ~19 MW + dehydration: rooftop HVAC, exhaust fans, </t>
        </is>
      </c>
      <c r="B1864" s="12" t="inlineStr"/>
      <c r="C1864" s="12" t="inlineStr"/>
      <c r="D1864" s="12" t="inlineStr">
        <is>
          <t>Motor 8 of 10, 30 kW</t>
        </is>
      </c>
      <c r="E1864" s="12" t="n">
        <v>480</v>
      </c>
      <c r="F1864" s="12" t="n">
        <v>30</v>
      </c>
      <c r="G1864" s="12" t="n">
        <v>42.5</v>
      </c>
      <c r="H1864" s="12" t="inlineStr">
        <is>
          <t>R1 MCC-C1</t>
        </is>
      </c>
      <c r="I1864" s="12" t="inlineStr">
        <is>
          <t>LV 600 V</t>
        </is>
      </c>
      <c r="J1864" s="12" t="inlineStr">
        <is>
          <t>3/0</t>
        </is>
      </c>
      <c r="K1864" s="12" t="n">
        <v>1</v>
      </c>
    </row>
    <row r="1865">
      <c r="A1865" s="12" t="inlineStr">
        <is>
          <t xml:space="preserve">CO2 compression 3 x ~19 MW + dehydration: rooftop HVAC, exhaust fans, </t>
        </is>
      </c>
      <c r="B1865" s="12" t="inlineStr"/>
      <c r="C1865" s="12" t="inlineStr"/>
      <c r="D1865" s="12" t="inlineStr">
        <is>
          <t>Motor 9 of 10, 30 kW</t>
        </is>
      </c>
      <c r="E1865" s="12" t="n">
        <v>480</v>
      </c>
      <c r="F1865" s="12" t="n">
        <v>30</v>
      </c>
      <c r="G1865" s="12" t="n">
        <v>42.5</v>
      </c>
      <c r="H1865" s="12" t="inlineStr">
        <is>
          <t>R1 MCC-C1</t>
        </is>
      </c>
      <c r="I1865" s="12" t="inlineStr">
        <is>
          <t>LV 600 V</t>
        </is>
      </c>
      <c r="J1865" s="12" t="inlineStr">
        <is>
          <t>3/0</t>
        </is>
      </c>
      <c r="K1865" s="12" t="n">
        <v>1</v>
      </c>
    </row>
    <row r="1866">
      <c r="A1866" s="12" t="inlineStr">
        <is>
          <t xml:space="preserve">CO2 compression 3 x ~19 MW + dehydration: rooftop HVAC, exhaust fans, </t>
        </is>
      </c>
      <c r="B1866" s="12" t="inlineStr"/>
      <c r="C1866" s="12" t="inlineStr"/>
      <c r="D1866" s="12" t="inlineStr">
        <is>
          <t>Motor 10 of 10, 30 kW</t>
        </is>
      </c>
      <c r="E1866" s="12" t="n">
        <v>480</v>
      </c>
      <c r="F1866" s="12" t="n">
        <v>30</v>
      </c>
      <c r="G1866" s="12" t="n">
        <v>42.5</v>
      </c>
      <c r="H1866" s="12" t="inlineStr">
        <is>
          <t>R1 MCC-C1</t>
        </is>
      </c>
      <c r="I1866" s="12" t="inlineStr">
        <is>
          <t>LV 600 V</t>
        </is>
      </c>
      <c r="J1866" s="12" t="inlineStr">
        <is>
          <t>3/0</t>
        </is>
      </c>
      <c r="K1866" s="12" t="n">
        <v>1</v>
      </c>
    </row>
    <row r="1867">
      <c r="A1867" s="12" t="inlineStr">
        <is>
          <t xml:space="preserve">CO2 compression 3 x ~19 MW + dehydration: rooftop HVAC, exhaust fans, </t>
        </is>
      </c>
      <c r="B1867" s="12" t="inlineStr"/>
      <c r="C1867" s="12" t="inlineStr"/>
      <c r="D1867" s="12" t="inlineStr">
        <is>
          <t>480 V welding receptacle 1</t>
        </is>
      </c>
      <c r="E1867" s="12" t="n">
        <v>480</v>
      </c>
      <c r="F1867" s="12" t="n">
        <v>60</v>
      </c>
      <c r="G1867" s="12" t="n">
        <v>76</v>
      </c>
      <c r="H1867" s="12" t="inlineStr">
        <is>
          <t>R1 MCC-C1</t>
        </is>
      </c>
      <c r="I1867" s="12" t="inlineStr">
        <is>
          <t>LV 600 V</t>
        </is>
      </c>
      <c r="J1867" s="12" t="inlineStr">
        <is>
          <t>250 kcmil</t>
        </is>
      </c>
      <c r="K1867" s="12" t="n">
        <v>1</v>
      </c>
    </row>
    <row r="1868">
      <c r="A1868" s="12" t="inlineStr">
        <is>
          <t xml:space="preserve">CO2 compression 3 x ~19 MW + dehydration: rooftop HVAC, exhaust fans, </t>
        </is>
      </c>
      <c r="B1868" s="12" t="inlineStr"/>
      <c r="C1868" s="12" t="inlineStr"/>
      <c r="D1868" s="12" t="inlineStr">
        <is>
          <t>480 V welding receptacle 2</t>
        </is>
      </c>
      <c r="E1868" s="12" t="n">
        <v>480</v>
      </c>
      <c r="F1868" s="12" t="n">
        <v>60</v>
      </c>
      <c r="G1868" s="12" t="n">
        <v>76</v>
      </c>
      <c r="H1868" s="12" t="inlineStr">
        <is>
          <t>R1 MCC-C1</t>
        </is>
      </c>
      <c r="I1868" s="12" t="inlineStr">
        <is>
          <t>LV 600 V</t>
        </is>
      </c>
      <c r="J1868" s="12" t="inlineStr">
        <is>
          <t>250 kcmil</t>
        </is>
      </c>
      <c r="K1868" s="12" t="n">
        <v>1</v>
      </c>
    </row>
    <row r="1869">
      <c r="A1869" s="12" t="inlineStr">
        <is>
          <t xml:space="preserve">CO2 compression 3 x ~19 MW + dehydration: rooftop HVAC, exhaust fans, </t>
        </is>
      </c>
      <c r="B1869" s="12" t="inlineStr"/>
      <c r="C1869" s="12" t="inlineStr"/>
      <c r="D1869" s="12" t="inlineStr">
        <is>
          <t>480 V welding receptacle 3</t>
        </is>
      </c>
      <c r="E1869" s="12" t="n">
        <v>480</v>
      </c>
      <c r="F1869" s="12" t="n">
        <v>60</v>
      </c>
      <c r="G1869" s="12" t="n">
        <v>76</v>
      </c>
      <c r="H1869" s="12" t="inlineStr">
        <is>
          <t>R1 MCC-C1</t>
        </is>
      </c>
      <c r="I1869" s="12" t="inlineStr">
        <is>
          <t>LV 600 V</t>
        </is>
      </c>
      <c r="J1869" s="12" t="inlineStr">
        <is>
          <t>250 kcmil</t>
        </is>
      </c>
      <c r="K1869" s="12" t="n">
        <v>1</v>
      </c>
    </row>
    <row r="1870">
      <c r="A1870" s="12" t="inlineStr">
        <is>
          <t xml:space="preserve">CO2 compression 3 x ~19 MW + dehydration: rooftop HVAC, exhaust fans, </t>
        </is>
      </c>
      <c r="B1870" s="12" t="inlineStr"/>
      <c r="C1870" s="12" t="inlineStr"/>
      <c r="D1870" s="12" t="inlineStr">
        <is>
          <t>480 V welding receptacle 4</t>
        </is>
      </c>
      <c r="E1870" s="12" t="n">
        <v>480</v>
      </c>
      <c r="F1870" s="12" t="n">
        <v>60</v>
      </c>
      <c r="G1870" s="12" t="n">
        <v>76</v>
      </c>
      <c r="H1870" s="12" t="inlineStr">
        <is>
          <t>R1 MCC-C1</t>
        </is>
      </c>
      <c r="I1870" s="12" t="inlineStr">
        <is>
          <t>LV 600 V</t>
        </is>
      </c>
      <c r="J1870" s="12" t="inlineStr">
        <is>
          <t>250 kcmil</t>
        </is>
      </c>
      <c r="K1870" s="12" t="n">
        <v>1</v>
      </c>
    </row>
    <row r="1871">
      <c r="A1871" s="12" t="inlineStr">
        <is>
          <t>Small-bore piping: instrument air, service water, nitrogen, HRSG drain</t>
        </is>
      </c>
      <c r="B1871" s="12" t="inlineStr"/>
      <c r="C1871" s="12" t="inlineStr"/>
      <c r="D1871" s="12" t="inlineStr">
        <is>
          <t>Motor 1 of 2, 250 kW</t>
        </is>
      </c>
      <c r="E1871" s="12" t="n">
        <v>480</v>
      </c>
      <c r="F1871" s="12" t="n">
        <v>250</v>
      </c>
      <c r="G1871" s="12" t="n">
        <v>353.8</v>
      </c>
      <c r="H1871" s="12" t="inlineStr">
        <is>
          <t>R1 MCC-C1</t>
        </is>
      </c>
      <c r="I1871" s="12" t="inlineStr">
        <is>
          <t>LV 600 V</t>
        </is>
      </c>
      <c r="J1871" s="12" t="inlineStr">
        <is>
          <t>250 kcmil</t>
        </is>
      </c>
      <c r="K1871" s="12" t="n">
        <v>2</v>
      </c>
    </row>
    <row r="1872">
      <c r="A1872" s="12" t="inlineStr">
        <is>
          <t>Small-bore piping: instrument air, service water, nitrogen, HRSG drain</t>
        </is>
      </c>
      <c r="B1872" s="12" t="inlineStr"/>
      <c r="C1872" s="12" t="inlineStr"/>
      <c r="D1872" s="12" t="inlineStr">
        <is>
          <t>Motor 2 of 2, 250 kW</t>
        </is>
      </c>
      <c r="E1872" s="12" t="n">
        <v>480</v>
      </c>
      <c r="F1872" s="12" t="n">
        <v>250</v>
      </c>
      <c r="G1872" s="12" t="n">
        <v>353.8</v>
      </c>
      <c r="H1872" s="12" t="inlineStr">
        <is>
          <t>R1 MCC-C1</t>
        </is>
      </c>
      <c r="I1872" s="12" t="inlineStr">
        <is>
          <t>LV 600 V</t>
        </is>
      </c>
      <c r="J1872" s="12" t="inlineStr">
        <is>
          <t>250 kcmil</t>
        </is>
      </c>
      <c r="K1872" s="12" t="n">
        <v>2</v>
      </c>
    </row>
    <row r="1873">
      <c r="A1873" s="12" t="inlineStr">
        <is>
          <t>Wastewater treatment: rooftop HVAC, exhaust fans, vents</t>
        </is>
      </c>
      <c r="B1873" s="12" t="inlineStr"/>
      <c r="C1873" s="12" t="inlineStr"/>
      <c r="D1873" s="12" t="inlineStr">
        <is>
          <t>Motor 1 of 8, 15 kW</t>
        </is>
      </c>
      <c r="E1873" s="12" t="n">
        <v>480</v>
      </c>
      <c r="F1873" s="12" t="n">
        <v>15</v>
      </c>
      <c r="G1873" s="12" t="n">
        <v>21.2</v>
      </c>
      <c r="H1873" s="12" t="inlineStr">
        <is>
          <t>R1 MCC-C1</t>
        </is>
      </c>
      <c r="I1873" s="12" t="inlineStr">
        <is>
          <t>LV 600 V</t>
        </is>
      </c>
      <c r="J1873" s="12" t="inlineStr">
        <is>
          <t>1</t>
        </is>
      </c>
      <c r="K1873" s="12" t="n">
        <v>1</v>
      </c>
    </row>
    <row r="1874">
      <c r="A1874" s="12" t="inlineStr">
        <is>
          <t>Wastewater treatment: rooftop HVAC, exhaust fans, vents</t>
        </is>
      </c>
      <c r="B1874" s="12" t="inlineStr"/>
      <c r="C1874" s="12" t="inlineStr"/>
      <c r="D1874" s="12" t="inlineStr">
        <is>
          <t>Motor 2 of 8, 15 kW</t>
        </is>
      </c>
      <c r="E1874" s="12" t="n">
        <v>480</v>
      </c>
      <c r="F1874" s="12" t="n">
        <v>15</v>
      </c>
      <c r="G1874" s="12" t="n">
        <v>21.2</v>
      </c>
      <c r="H1874" s="12" t="inlineStr">
        <is>
          <t>R1 MCC-C1</t>
        </is>
      </c>
      <c r="I1874" s="12" t="inlineStr">
        <is>
          <t>LV 600 V</t>
        </is>
      </c>
      <c r="J1874" s="12" t="inlineStr">
        <is>
          <t>1</t>
        </is>
      </c>
      <c r="K1874" s="12" t="n">
        <v>1</v>
      </c>
    </row>
    <row r="1875">
      <c r="A1875" s="12" t="inlineStr">
        <is>
          <t>Wastewater treatment: rooftop HVAC, exhaust fans, vents</t>
        </is>
      </c>
      <c r="B1875" s="12" t="inlineStr"/>
      <c r="C1875" s="12" t="inlineStr"/>
      <c r="D1875" s="12" t="inlineStr">
        <is>
          <t>Motor 3 of 8, 15 kW</t>
        </is>
      </c>
      <c r="E1875" s="12" t="n">
        <v>480</v>
      </c>
      <c r="F1875" s="12" t="n">
        <v>15</v>
      </c>
      <c r="G1875" s="12" t="n">
        <v>21.2</v>
      </c>
      <c r="H1875" s="12" t="inlineStr">
        <is>
          <t>R1 MCC-C1</t>
        </is>
      </c>
      <c r="I1875" s="12" t="inlineStr">
        <is>
          <t>LV 600 V</t>
        </is>
      </c>
      <c r="J1875" s="12" t="inlineStr">
        <is>
          <t>1</t>
        </is>
      </c>
      <c r="K1875" s="12" t="n">
        <v>1</v>
      </c>
    </row>
    <row r="1876">
      <c r="A1876" s="12" t="inlineStr">
        <is>
          <t>Wastewater treatment: rooftop HVAC, exhaust fans, vents</t>
        </is>
      </c>
      <c r="B1876" s="12" t="inlineStr"/>
      <c r="C1876" s="12" t="inlineStr"/>
      <c r="D1876" s="12" t="inlineStr">
        <is>
          <t>Motor 4 of 8, 15 kW</t>
        </is>
      </c>
      <c r="E1876" s="12" t="n">
        <v>480</v>
      </c>
      <c r="F1876" s="12" t="n">
        <v>15</v>
      </c>
      <c r="G1876" s="12" t="n">
        <v>21.2</v>
      </c>
      <c r="H1876" s="12" t="inlineStr">
        <is>
          <t>R1 MCC-C1</t>
        </is>
      </c>
      <c r="I1876" s="12" t="inlineStr">
        <is>
          <t>LV 600 V</t>
        </is>
      </c>
      <c r="J1876" s="12" t="inlineStr">
        <is>
          <t>1</t>
        </is>
      </c>
      <c r="K1876" s="12" t="n">
        <v>1</v>
      </c>
    </row>
    <row r="1877">
      <c r="A1877" s="12" t="inlineStr">
        <is>
          <t>Wastewater treatment: rooftop HVAC, exhaust fans, vents</t>
        </is>
      </c>
      <c r="B1877" s="12" t="inlineStr"/>
      <c r="C1877" s="12" t="inlineStr"/>
      <c r="D1877" s="12" t="inlineStr">
        <is>
          <t>Motor 5 of 8, 15 kW</t>
        </is>
      </c>
      <c r="E1877" s="12" t="n">
        <v>480</v>
      </c>
      <c r="F1877" s="12" t="n">
        <v>15</v>
      </c>
      <c r="G1877" s="12" t="n">
        <v>21.2</v>
      </c>
      <c r="H1877" s="12" t="inlineStr">
        <is>
          <t>R1 MCC-C1</t>
        </is>
      </c>
      <c r="I1877" s="12" t="inlineStr">
        <is>
          <t>LV 600 V</t>
        </is>
      </c>
      <c r="J1877" s="12" t="inlineStr">
        <is>
          <t>1</t>
        </is>
      </c>
      <c r="K1877" s="12" t="n">
        <v>1</v>
      </c>
    </row>
    <row r="1878">
      <c r="A1878" s="12" t="inlineStr">
        <is>
          <t>Wastewater treatment: rooftop HVAC, exhaust fans, vents</t>
        </is>
      </c>
      <c r="B1878" s="12" t="inlineStr"/>
      <c r="C1878" s="12" t="inlineStr"/>
      <c r="D1878" s="12" t="inlineStr">
        <is>
          <t>Motor 6 of 8, 15 kW</t>
        </is>
      </c>
      <c r="E1878" s="12" t="n">
        <v>480</v>
      </c>
      <c r="F1878" s="12" t="n">
        <v>15</v>
      </c>
      <c r="G1878" s="12" t="n">
        <v>21.2</v>
      </c>
      <c r="H1878" s="12" t="inlineStr">
        <is>
          <t>R1 MCC-C1</t>
        </is>
      </c>
      <c r="I1878" s="12" t="inlineStr">
        <is>
          <t>LV 600 V</t>
        </is>
      </c>
      <c r="J1878" s="12" t="inlineStr">
        <is>
          <t>1</t>
        </is>
      </c>
      <c r="K1878" s="12" t="n">
        <v>1</v>
      </c>
    </row>
    <row r="1879">
      <c r="A1879" s="12" t="inlineStr">
        <is>
          <t>Wastewater treatment: rooftop HVAC, exhaust fans, vents</t>
        </is>
      </c>
      <c r="B1879" s="12" t="inlineStr"/>
      <c r="C1879" s="12" t="inlineStr"/>
      <c r="D1879" s="12" t="inlineStr">
        <is>
          <t>Motor 7 of 8, 15 kW</t>
        </is>
      </c>
      <c r="E1879" s="12" t="n">
        <v>480</v>
      </c>
      <c r="F1879" s="12" t="n">
        <v>15</v>
      </c>
      <c r="G1879" s="12" t="n">
        <v>21.2</v>
      </c>
      <c r="H1879" s="12" t="inlineStr">
        <is>
          <t>R1 MCC-C1</t>
        </is>
      </c>
      <c r="I1879" s="12" t="inlineStr">
        <is>
          <t>LV 600 V</t>
        </is>
      </c>
      <c r="J1879" s="12" t="inlineStr">
        <is>
          <t>1</t>
        </is>
      </c>
      <c r="K1879" s="12" t="n">
        <v>1</v>
      </c>
    </row>
    <row r="1880">
      <c r="A1880" s="12" t="inlineStr">
        <is>
          <t>Wastewater treatment: rooftop HVAC, exhaust fans, vents</t>
        </is>
      </c>
      <c r="B1880" s="12" t="inlineStr"/>
      <c r="C1880" s="12" t="inlineStr"/>
      <c r="D1880" s="12" t="inlineStr">
        <is>
          <t>Motor 8 of 8, 15 kW</t>
        </is>
      </c>
      <c r="E1880" s="12" t="n">
        <v>480</v>
      </c>
      <c r="F1880" s="12" t="n">
        <v>15</v>
      </c>
      <c r="G1880" s="12" t="n">
        <v>21.2</v>
      </c>
      <c r="H1880" s="12" t="inlineStr">
        <is>
          <t>R1 MCC-C1</t>
        </is>
      </c>
      <c r="I1880" s="12" t="inlineStr">
        <is>
          <t>LV 600 V</t>
        </is>
      </c>
      <c r="J1880" s="12" t="inlineStr">
        <is>
          <t>1</t>
        </is>
      </c>
      <c r="K1880" s="12" t="n">
        <v>1</v>
      </c>
    </row>
    <row r="1881">
      <c r="A1881" s="12" t="inlineStr">
        <is>
          <t>Water treatment building: rooftop HVAC, exhaust fans, vents</t>
        </is>
      </c>
      <c r="B1881" s="12" t="inlineStr"/>
      <c r="C1881" s="12" t="inlineStr"/>
      <c r="D1881" s="12" t="inlineStr">
        <is>
          <t>Motor 1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2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3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4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5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6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7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8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9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10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11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12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13 of 20, 15 kW</t>
        </is>
      </c>
      <c r="E1893" s="12" t="n">
        <v>480</v>
      </c>
      <c r="F1893" s="12" t="n">
        <v>15</v>
      </c>
      <c r="G1893" s="12" t="n">
        <v>21.2</v>
      </c>
      <c r="H1893" s="12" t="inlineStr">
        <is>
          <t>R1 MCC-C1</t>
        </is>
      </c>
      <c r="I1893" s="12" t="inlineStr">
        <is>
          <t>LV 600 V</t>
        </is>
      </c>
      <c r="J1893" s="12" t="inlineStr">
        <is>
          <t>2</t>
        </is>
      </c>
      <c r="K1893" s="12" t="n">
        <v>1</v>
      </c>
    </row>
    <row r="1894">
      <c r="A1894" s="12" t="inlineStr">
        <is>
          <t>Water treatment building: rooftop HVAC, exhaust fans, vents</t>
        </is>
      </c>
      <c r="B1894" s="12" t="inlineStr"/>
      <c r="C1894" s="12" t="inlineStr"/>
      <c r="D1894" s="12" t="inlineStr">
        <is>
          <t>Motor 14 of 20, 15 kW</t>
        </is>
      </c>
      <c r="E1894" s="12" t="n">
        <v>480</v>
      </c>
      <c r="F1894" s="12" t="n">
        <v>15</v>
      </c>
      <c r="G1894" s="12" t="n">
        <v>21.2</v>
      </c>
      <c r="H1894" s="12" t="inlineStr">
        <is>
          <t>R1 MCC-C1</t>
        </is>
      </c>
      <c r="I1894" s="12" t="inlineStr">
        <is>
          <t>LV 600 V</t>
        </is>
      </c>
      <c r="J1894" s="12" t="inlineStr">
        <is>
          <t>2</t>
        </is>
      </c>
      <c r="K1894" s="12" t="n">
        <v>1</v>
      </c>
    </row>
    <row r="1895">
      <c r="A1895" s="12" t="inlineStr">
        <is>
          <t>Water treatment building: rooftop HVAC, exhaust fans, vents</t>
        </is>
      </c>
      <c r="B1895" s="12" t="inlineStr"/>
      <c r="C1895" s="12" t="inlineStr"/>
      <c r="D1895" s="12" t="inlineStr">
        <is>
          <t>Motor 15 of 20, 15 kW</t>
        </is>
      </c>
      <c r="E1895" s="12" t="n">
        <v>480</v>
      </c>
      <c r="F1895" s="12" t="n">
        <v>15</v>
      </c>
      <c r="G1895" s="12" t="n">
        <v>21.2</v>
      </c>
      <c r="H1895" s="12" t="inlineStr">
        <is>
          <t>R1 MCC-C1</t>
        </is>
      </c>
      <c r="I1895" s="12" t="inlineStr">
        <is>
          <t>LV 600 V</t>
        </is>
      </c>
      <c r="J1895" s="12" t="inlineStr">
        <is>
          <t>2</t>
        </is>
      </c>
      <c r="K1895" s="12" t="n">
        <v>1</v>
      </c>
    </row>
    <row r="1896">
      <c r="A1896" s="12" t="inlineStr">
        <is>
          <t>Water treatment building: rooftop HVAC, exhaust fans, vents</t>
        </is>
      </c>
      <c r="B1896" s="12" t="inlineStr"/>
      <c r="C1896" s="12" t="inlineStr"/>
      <c r="D1896" s="12" t="inlineStr">
        <is>
          <t>Motor 16 of 20, 15 kW</t>
        </is>
      </c>
      <c r="E1896" s="12" t="n">
        <v>480</v>
      </c>
      <c r="F1896" s="12" t="n">
        <v>15</v>
      </c>
      <c r="G1896" s="12" t="n">
        <v>21.2</v>
      </c>
      <c r="H1896" s="12" t="inlineStr">
        <is>
          <t>R1 MCC-C1</t>
        </is>
      </c>
      <c r="I1896" s="12" t="inlineStr">
        <is>
          <t>LV 600 V</t>
        </is>
      </c>
      <c r="J1896" s="12" t="inlineStr">
        <is>
          <t>2</t>
        </is>
      </c>
      <c r="K1896" s="12" t="n">
        <v>1</v>
      </c>
    </row>
    <row r="1897">
      <c r="A1897" s="12" t="inlineStr">
        <is>
          <t>Water treatment building: rooftop HVAC, exhaust fans, vents</t>
        </is>
      </c>
      <c r="B1897" s="12" t="inlineStr"/>
      <c r="C1897" s="12" t="inlineStr"/>
      <c r="D1897" s="12" t="inlineStr">
        <is>
          <t>Motor 17 of 20, 15 kW</t>
        </is>
      </c>
      <c r="E1897" s="12" t="n">
        <v>480</v>
      </c>
      <c r="F1897" s="12" t="n">
        <v>15</v>
      </c>
      <c r="G1897" s="12" t="n">
        <v>21.2</v>
      </c>
      <c r="H1897" s="12" t="inlineStr">
        <is>
          <t>R1 MCC-C1</t>
        </is>
      </c>
      <c r="I1897" s="12" t="inlineStr">
        <is>
          <t>LV 600 V</t>
        </is>
      </c>
      <c r="J1897" s="12" t="inlineStr">
        <is>
          <t>2</t>
        </is>
      </c>
      <c r="K1897" s="12" t="n">
        <v>1</v>
      </c>
    </row>
    <row r="1898">
      <c r="A1898" s="12" t="inlineStr">
        <is>
          <t>Water treatment building: rooftop HVAC, exhaust fans, vents</t>
        </is>
      </c>
      <c r="B1898" s="12" t="inlineStr"/>
      <c r="C1898" s="12" t="inlineStr"/>
      <c r="D1898" s="12" t="inlineStr">
        <is>
          <t>Motor 18 of 20, 15 kW</t>
        </is>
      </c>
      <c r="E1898" s="12" t="n">
        <v>480</v>
      </c>
      <c r="F1898" s="12" t="n">
        <v>15</v>
      </c>
      <c r="G1898" s="12" t="n">
        <v>21.2</v>
      </c>
      <c r="H1898" s="12" t="inlineStr">
        <is>
          <t>R1 MCC-C1</t>
        </is>
      </c>
      <c r="I1898" s="12" t="inlineStr">
        <is>
          <t>LV 600 V</t>
        </is>
      </c>
      <c r="J1898" s="12" t="inlineStr">
        <is>
          <t>2</t>
        </is>
      </c>
      <c r="K1898" s="12" t="n">
        <v>1</v>
      </c>
    </row>
    <row r="1899">
      <c r="A1899" s="12" t="inlineStr">
        <is>
          <t>Water treatment building: rooftop HVAC, exhaust fans, vents</t>
        </is>
      </c>
      <c r="B1899" s="12" t="inlineStr"/>
      <c r="C1899" s="12" t="inlineStr"/>
      <c r="D1899" s="12" t="inlineStr">
        <is>
          <t>Motor 19 of 20, 15 kW</t>
        </is>
      </c>
      <c r="E1899" s="12" t="n">
        <v>480</v>
      </c>
      <c r="F1899" s="12" t="n">
        <v>15</v>
      </c>
      <c r="G1899" s="12" t="n">
        <v>21.2</v>
      </c>
      <c r="H1899" s="12" t="inlineStr">
        <is>
          <t>R1 MCC-C1</t>
        </is>
      </c>
      <c r="I1899" s="12" t="inlineStr">
        <is>
          <t>LV 600 V</t>
        </is>
      </c>
      <c r="J1899" s="12" t="inlineStr">
        <is>
          <t>2</t>
        </is>
      </c>
      <c r="K1899" s="12" t="n">
        <v>1</v>
      </c>
    </row>
    <row r="1900">
      <c r="A1900" s="12" t="inlineStr">
        <is>
          <t>Water treatment building: rooftop HVAC, exhaust fans, vents</t>
        </is>
      </c>
      <c r="B1900" s="12" t="inlineStr"/>
      <c r="C1900" s="12" t="inlineStr"/>
      <c r="D1900" s="12" t="inlineStr">
        <is>
          <t>Motor 20 of 20, 15 kW</t>
        </is>
      </c>
      <c r="E1900" s="12" t="n">
        <v>480</v>
      </c>
      <c r="F1900" s="12" t="n">
        <v>15</v>
      </c>
      <c r="G1900" s="12" t="n">
        <v>21.2</v>
      </c>
      <c r="H1900" s="12" t="inlineStr">
        <is>
          <t>R1 MCC-C1</t>
        </is>
      </c>
      <c r="I1900" s="12" t="inlineStr">
        <is>
          <t>LV 600 V</t>
        </is>
      </c>
      <c r="J1900" s="12" t="inlineStr">
        <is>
          <t>2</t>
        </is>
      </c>
      <c r="K190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2026-10-29T23:46:52Z</dcterms:created>
  <dcterms:modified xmlns:dcterms="http://purl.org/dc/terms/" xmlns:xsi="http://www.w3.org/2001/XMLSchema-instance" xsi:type="dcterms:W3CDTF">2026-10-29T23:46:54Z</dcterms:modified>
</cp:coreProperties>
</file>